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'Jerry'!$A$1:$H$472</definedName>
  </definedNames>
  <calcPr fullCalcOnLoad="1"/>
</workbook>
</file>

<file path=xl/sharedStrings.xml><?xml version="1.0" encoding="utf-8"?>
<sst xmlns="http://schemas.openxmlformats.org/spreadsheetml/2006/main" count="108" uniqueCount="108">
  <si>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</si>
  <si>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</si>
  <si>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</si>
  <si>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</si>
  <si>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</si>
  <si>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</si>
  <si>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</si>
  <si>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</si>
  <si>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</si>
  <si>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</si>
  <si>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</si>
  <si>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</si>
  <si>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</si>
  <si>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</si>
  <si>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</si>
  <si>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</si>
  <si>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</si>
  <si>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</si>
  <si>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</si>
  <si>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</si>
  <si>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</si>
  <si>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</si>
  <si>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</si>
  <si>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</si>
  <si>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</si>
  <si>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</si>
  <si>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</si>
  <si>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</si>
  <si>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</si>
  <si>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</si>
  <si>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</si>
  <si>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</si>
  <si>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</si>
  <si>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</si>
  <si>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</si>
  <si>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</si>
  <si>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</si>
  <si>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</si>
  <si>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</si>
  <si>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</si>
  <si>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</si>
  <si>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</si>
  <si>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</si>
  <si>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</si>
  <si>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</si>
  <si>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</si>
  <si>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</si>
  <si>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</si>
  <si>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</si>
  <si>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</si>
  <si>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</si>
  <si>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</si>
  <si>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</si>
  <si>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</si>
  <si>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</si>
  <si>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</si>
  <si>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</si>
  <si>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</si>
  <si>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</si>
  <si>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</si>
  <si>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</si>
  <si>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</si>
  <si>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</si>
  <si>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</si>
  <si>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</si>
  <si>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</si>
  <si>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</si>
  <si>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</si>
  <si>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</si>
  <si>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</si>
  <si>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</si>
  <si>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</si>
  <si>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</si>
  <si>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</si>
  <si>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</si>
  <si>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</si>
  <si>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</si>
  <si>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</si>
  <si>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</si>
  <si>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</si>
  <si>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</si>
  <si>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</si>
  <si>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</si>
  <si>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</si>
  <si>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</si>
  <si>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</si>
  <si>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</si>
  <si>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</si>
  <si>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</si>
  <si>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</si>
  <si>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</si>
  <si>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</si>
  <si>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</si>
  <si>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</si>
  <si>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</si>
  <si>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1Y Stnd 7.75% Sep 2016-2017 (IS01)</t>
  </si>
  <si>
    <t>2Y Stnd 7.25% Dec 2015-2017 (IS02)</t>
  </si>
  <si>
    <t>2Y Stnd 7.75% Mar 2016-2018 (IS02)</t>
  </si>
  <si>
    <t>2Y Stnd 8% Jun 2016-2018 (IS02)</t>
  </si>
  <si>
    <t>2Y Stnd 8% Sep 2016-2018 (IS02)</t>
  </si>
  <si>
    <t>5Y Stnd 8% Dec 2015-2020 (IS05)</t>
  </si>
  <si>
    <t>5Y Stnd 8.25% Mar 2016-2021 (IS05)</t>
  </si>
  <si>
    <t>5Y Stnd 8.5% Jun 2016-2021 (IS05)</t>
  </si>
  <si>
    <t>5Y Stnd 8.5% Sep 2016-2021 (IS05)</t>
  </si>
  <si>
    <t>10Y Stnd 8.25% Dec 2015-2025 (IS10)</t>
  </si>
  <si>
    <t>10Y Stnd 8.75% Mar 2016-2026 (IS10)</t>
  </si>
  <si>
    <t>10Y Stnd 9% Jun 2016-2026 (IS10)</t>
  </si>
  <si>
    <t>10Y Stnd 8.75% Sep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</si>
</sst>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1"/>
  <sheetViews>
    <sheetView tabSelected="1" zoomScaleSheetLayoutView="75" zoomScalePageLayoutView="0" workbookViewId="0" topLeftCell="A40">
      <selection activeCell="L55" sqref="L55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42576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ROUND(1.76,5)</f>
        <v>1.76</v>
      </c>
      <c r="D6" s="24">
        <f>F6</f>
        <v>1.76</v>
      </c>
      <c r="E6" s="24">
        <f>F6</f>
        <v>1.76</v>
      </c>
      <c r="F6" s="24">
        <f>ROUND(1.76,5)</f>
        <v>1.76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ROUND(1.89,5)</f>
        <v>1.89</v>
      </c>
      <c r="D8" s="24">
        <f>F8</f>
        <v>1.89</v>
      </c>
      <c r="E8" s="24">
        <f>F8</f>
        <v>1.89</v>
      </c>
      <c r="F8" s="24">
        <f>ROUND(1.89,5)</f>
        <v>1.89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ROUND(1.97,5)</f>
        <v>1.97</v>
      </c>
      <c r="D10" s="24">
        <f>F10</f>
        <v>1.97</v>
      </c>
      <c r="E10" s="24">
        <f>F10</f>
        <v>1.97</v>
      </c>
      <c r="F10" s="24">
        <f>ROUND(1.97,5)</f>
        <v>1.97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ROUND(2.33,5)</f>
        <v>2.33</v>
      </c>
      <c r="D12" s="24">
        <f>F12</f>
        <v>2.33</v>
      </c>
      <c r="E12" s="24">
        <f>F12</f>
        <v>2.33</v>
      </c>
      <c r="F12" s="24">
        <f>ROUND(2.33,5)</f>
        <v>2.33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ROUND(10.31,5)</f>
        <v>10.31</v>
      </c>
      <c r="D14" s="24">
        <f>F14</f>
        <v>10.31</v>
      </c>
      <c r="E14" s="24">
        <f>F14</f>
        <v>10.31</v>
      </c>
      <c r="F14" s="24">
        <f>ROUND(10.31,5)</f>
        <v>10.31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ROUND(8.48,5)</f>
        <v>8.48</v>
      </c>
      <c r="D16" s="24">
        <f>F16</f>
        <v>8.48</v>
      </c>
      <c r="E16" s="24">
        <f>F16</f>
        <v>8.48</v>
      </c>
      <c r="F16" s="24">
        <f>ROUND(8.48,5)</f>
        <v>8.48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ROUND(8.78,3)</f>
        <v>8.78</v>
      </c>
      <c r="D18" s="29">
        <f>F18</f>
        <v>8.78</v>
      </c>
      <c r="E18" s="29">
        <f>F18</f>
        <v>8.78</v>
      </c>
      <c r="F18" s="29">
        <f>ROUND(8.78,3)</f>
        <v>8.78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ROUND(1.76,3)</f>
        <v>1.76</v>
      </c>
      <c r="D20" s="29">
        <f>F20</f>
        <v>1.76</v>
      </c>
      <c r="E20" s="29">
        <f>F20</f>
        <v>1.76</v>
      </c>
      <c r="F20" s="29">
        <f>ROUND(1.76,3)</f>
        <v>1.76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ROUND(1.83,3)</f>
        <v>1.83</v>
      </c>
      <c r="D22" s="29">
        <f>F22</f>
        <v>1.83</v>
      </c>
      <c r="E22" s="29">
        <f>F22</f>
        <v>1.83</v>
      </c>
      <c r="F22" s="29">
        <f>ROUND(1.83,3)</f>
        <v>1.83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42993</v>
      </c>
      <c r="B24" s="23"/>
      <c r="C24" s="29">
        <f>ROUND(7.65,3)</f>
        <v>7.65</v>
      </c>
      <c r="D24" s="29">
        <f>F24</f>
        <v>7.65</v>
      </c>
      <c r="E24" s="29">
        <f>F24</f>
        <v>7.65</v>
      </c>
      <c r="F24" s="29">
        <f>ROUND(7.65,3)</f>
        <v>7.65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43455</v>
      </c>
      <c r="B26" s="23"/>
      <c r="C26" s="29">
        <f>ROUND(7.89,3)</f>
        <v>7.89</v>
      </c>
      <c r="D26" s="29">
        <f>F26</f>
        <v>7.89</v>
      </c>
      <c r="E26" s="29">
        <f>F26</f>
        <v>7.89</v>
      </c>
      <c r="F26" s="29">
        <f>ROUND(7.89,3)</f>
        <v>7.89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43845</v>
      </c>
      <c r="B28" s="23"/>
      <c r="C28" s="29">
        <f>ROUND(8.11,3)</f>
        <v>8.11</v>
      </c>
      <c r="D28" s="29">
        <f>F28</f>
        <v>8.11</v>
      </c>
      <c r="E28" s="29">
        <f>F28</f>
        <v>8.11</v>
      </c>
      <c r="F28" s="29">
        <f>ROUND(8.11,3)</f>
        <v>8.11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44286</v>
      </c>
      <c r="B30" s="23"/>
      <c r="C30" s="29">
        <f>ROUND(8.265,3)</f>
        <v>8.265</v>
      </c>
      <c r="D30" s="29">
        <f>F30</f>
        <v>8.265</v>
      </c>
      <c r="E30" s="29">
        <f>F30</f>
        <v>8.265</v>
      </c>
      <c r="F30" s="29">
        <f>ROUND(8.265,3)</f>
        <v>8.265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49765</v>
      </c>
      <c r="B32" s="23"/>
      <c r="C32" s="29">
        <f>ROUND(9.34,3)</f>
        <v>9.34</v>
      </c>
      <c r="D32" s="29">
        <f>F32</f>
        <v>9.34</v>
      </c>
      <c r="E32" s="29">
        <f>F32</f>
        <v>9.34</v>
      </c>
      <c r="F32" s="29">
        <f>ROUND(9.34,3)</f>
        <v>9.34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46843</v>
      </c>
      <c r="B34" s="23"/>
      <c r="C34" s="29">
        <f>ROUND(1.83,3)</f>
        <v>1.83</v>
      </c>
      <c r="D34" s="29">
        <f>F34</f>
        <v>1.83</v>
      </c>
      <c r="E34" s="29">
        <f>F34</f>
        <v>1.83</v>
      </c>
      <c r="F34" s="29">
        <f>ROUND(1.83,3)</f>
        <v>1.83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42766</v>
      </c>
      <c r="B36" s="23"/>
      <c r="C36" s="24">
        <f>ROUND(1.55,5)</f>
        <v>1.55</v>
      </c>
      <c r="D36" s="24">
        <f>F36</f>
        <v>1.55</v>
      </c>
      <c r="E36" s="24">
        <f>F36</f>
        <v>1.55</v>
      </c>
      <c r="F36" s="24">
        <f>ROUND(1.55,5)</f>
        <v>1.55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44592</v>
      </c>
      <c r="B38" s="23"/>
      <c r="C38" s="29">
        <f>ROUND(1.73,3)</f>
        <v>1.73</v>
      </c>
      <c r="D38" s="29">
        <f>F38</f>
        <v>1.73</v>
      </c>
      <c r="E38" s="29">
        <f>F38</f>
        <v>1.73</v>
      </c>
      <c r="F38" s="29">
        <f>ROUND(1.73,3)</f>
        <v>1.73</v>
      </c>
      <c r="G38" s="25"/>
      <c r="H38" s="26"/>
    </row>
    <row r="39" spans="1:8" ht="12.75" customHeight="1">
      <c r="A39" s="23" t="s">
        <v>29</v>
      </c>
      <c r="B39" s="23"/>
      <c r="C39" s="27"/>
      <c r="D39" s="27"/>
      <c r="E39" s="27"/>
      <c r="F39" s="27"/>
      <c r="G39" s="25"/>
      <c r="H39" s="26"/>
    </row>
    <row r="40" spans="1:8" ht="12.75" customHeight="1">
      <c r="A40" s="23">
        <v>47907</v>
      </c>
      <c r="B40" s="23"/>
      <c r="C40" s="29">
        <f>ROUND(9.215,3)</f>
        <v>9.215</v>
      </c>
      <c r="D40" s="29">
        <f>F40</f>
        <v>9.215</v>
      </c>
      <c r="E40" s="29">
        <f>F40</f>
        <v>9.215</v>
      </c>
      <c r="F40" s="29">
        <f>ROUND(9.215,3)</f>
        <v>9.215</v>
      </c>
      <c r="G40" s="25"/>
      <c r="H40" s="26"/>
    </row>
    <row r="41" spans="1:8" ht="12.75" customHeight="1">
      <c r="A41" s="23" t="s">
        <v>30</v>
      </c>
      <c r="B41" s="23"/>
      <c r="C41" s="28"/>
      <c r="D41" s="28"/>
      <c r="E41" s="28"/>
      <c r="F41" s="28"/>
      <c r="G41" s="25"/>
      <c r="H41" s="26"/>
    </row>
    <row r="42" spans="1:8" ht="12.75" customHeight="1">
      <c r="A42" s="23">
        <v>42586</v>
      </c>
      <c r="B42" s="23"/>
      <c r="C42" s="24">
        <f>ROUND(1.76,5)</f>
        <v>1.76</v>
      </c>
      <c r="D42" s="24">
        <f>F42</f>
        <v>127.74669</v>
      </c>
      <c r="E42" s="24">
        <f>F42</f>
        <v>127.74669</v>
      </c>
      <c r="F42" s="24">
        <f>ROUND(127.74669,5)</f>
        <v>127.74669</v>
      </c>
      <c r="G42" s="25"/>
      <c r="H42" s="26"/>
    </row>
    <row r="43" spans="1:8" ht="12.75" customHeight="1">
      <c r="A43" s="23">
        <v>42677</v>
      </c>
      <c r="B43" s="23"/>
      <c r="C43" s="24">
        <f>ROUND(1.76,5)</f>
        <v>1.76</v>
      </c>
      <c r="D43" s="24">
        <f>F43</f>
        <v>130.16363</v>
      </c>
      <c r="E43" s="24">
        <f>F43</f>
        <v>130.16363</v>
      </c>
      <c r="F43" s="24">
        <f>ROUND(130.16363,5)</f>
        <v>130.16363</v>
      </c>
      <c r="G43" s="25"/>
      <c r="H43" s="26"/>
    </row>
    <row r="44" spans="1:8" ht="12.75" customHeight="1">
      <c r="A44" s="23">
        <v>42768</v>
      </c>
      <c r="B44" s="23"/>
      <c r="C44" s="24">
        <f>ROUND(1.76,5)</f>
        <v>1.76</v>
      </c>
      <c r="D44" s="24">
        <f>F44</f>
        <v>131.45</v>
      </c>
      <c r="E44" s="24">
        <f>F44</f>
        <v>131.45</v>
      </c>
      <c r="F44" s="24">
        <f>ROUND(131.45,5)</f>
        <v>131.45</v>
      </c>
      <c r="G44" s="25"/>
      <c r="H44" s="26"/>
    </row>
    <row r="45" spans="1:8" ht="12.75" customHeight="1">
      <c r="A45" s="23">
        <v>42859</v>
      </c>
      <c r="B45" s="23"/>
      <c r="C45" s="24">
        <f>ROUND(1.76,5)</f>
        <v>1.76</v>
      </c>
      <c r="D45" s="24">
        <f>F45</f>
        <v>134.17735</v>
      </c>
      <c r="E45" s="24">
        <f>F45</f>
        <v>134.17735</v>
      </c>
      <c r="F45" s="24">
        <f>ROUND(134.17735,5)</f>
        <v>134.17735</v>
      </c>
      <c r="G45" s="25"/>
      <c r="H45" s="26"/>
    </row>
    <row r="46" spans="1:8" ht="12.75" customHeight="1">
      <c r="A46" s="23">
        <v>42950</v>
      </c>
      <c r="B46" s="23"/>
      <c r="C46" s="24">
        <f>ROUND(1.76,5)</f>
        <v>1.76</v>
      </c>
      <c r="D46" s="24">
        <f>F46</f>
        <v>137.00792</v>
      </c>
      <c r="E46" s="24">
        <f>F46</f>
        <v>137.00792</v>
      </c>
      <c r="F46" s="24">
        <f>ROUND(137.00792,5)</f>
        <v>137.00792</v>
      </c>
      <c r="G46" s="25"/>
      <c r="H46" s="26"/>
    </row>
    <row r="47" spans="1:8" ht="12.75" customHeight="1">
      <c r="A47" s="23" t="s">
        <v>31</v>
      </c>
      <c r="B47" s="23"/>
      <c r="C47" s="27"/>
      <c r="D47" s="27"/>
      <c r="E47" s="27"/>
      <c r="F47" s="27"/>
      <c r="G47" s="25"/>
      <c r="H47" s="26"/>
    </row>
    <row r="48" spans="1:8" ht="12.75" customHeight="1">
      <c r="A48" s="23">
        <v>42586</v>
      </c>
      <c r="B48" s="23"/>
      <c r="C48" s="24">
        <f>ROUND(9.175,5)</f>
        <v>9.175</v>
      </c>
      <c r="D48" s="24">
        <f>F48</f>
        <v>9.18219</v>
      </c>
      <c r="E48" s="24">
        <f>F48</f>
        <v>9.18219</v>
      </c>
      <c r="F48" s="24">
        <f>ROUND(9.18219,5)</f>
        <v>9.18219</v>
      </c>
      <c r="G48" s="25"/>
      <c r="H48" s="26"/>
    </row>
    <row r="49" spans="1:8" ht="12.75" customHeight="1">
      <c r="A49" s="23">
        <v>42677</v>
      </c>
      <c r="B49" s="23"/>
      <c r="C49" s="24">
        <f>ROUND(9.175,5)</f>
        <v>9.175</v>
      </c>
      <c r="D49" s="24">
        <f>F49</f>
        <v>9.22523</v>
      </c>
      <c r="E49" s="24">
        <f>F49</f>
        <v>9.22523</v>
      </c>
      <c r="F49" s="24">
        <f>ROUND(9.22523,5)</f>
        <v>9.22523</v>
      </c>
      <c r="G49" s="25"/>
      <c r="H49" s="26"/>
    </row>
    <row r="50" spans="1:8" ht="12.75" customHeight="1">
      <c r="A50" s="23">
        <v>42768</v>
      </c>
      <c r="B50" s="23"/>
      <c r="C50" s="24">
        <f>ROUND(9.175,5)</f>
        <v>9.175</v>
      </c>
      <c r="D50" s="24">
        <f>F50</f>
        <v>9.26338</v>
      </c>
      <c r="E50" s="24">
        <f>F50</f>
        <v>9.26338</v>
      </c>
      <c r="F50" s="24">
        <f>ROUND(9.26338,5)</f>
        <v>9.26338</v>
      </c>
      <c r="G50" s="25"/>
      <c r="H50" s="26"/>
    </row>
    <row r="51" spans="1:8" ht="12.75" customHeight="1">
      <c r="A51" s="23">
        <v>42859</v>
      </c>
      <c r="B51" s="23"/>
      <c r="C51" s="24">
        <f>ROUND(9.175,5)</f>
        <v>9.175</v>
      </c>
      <c r="D51" s="24">
        <f>F51</f>
        <v>9.29386</v>
      </c>
      <c r="E51" s="24">
        <f>F51</f>
        <v>9.29386</v>
      </c>
      <c r="F51" s="24">
        <f>ROUND(9.29386,5)</f>
        <v>9.29386</v>
      </c>
      <c r="G51" s="25"/>
      <c r="H51" s="26"/>
    </row>
    <row r="52" spans="1:8" ht="12.75" customHeight="1">
      <c r="A52" s="23">
        <v>42950</v>
      </c>
      <c r="B52" s="23"/>
      <c r="C52" s="24">
        <f>ROUND(9.175,5)</f>
        <v>9.175</v>
      </c>
      <c r="D52" s="24">
        <f>F52</f>
        <v>9.31617</v>
      </c>
      <c r="E52" s="24">
        <f>F52</f>
        <v>9.31617</v>
      </c>
      <c r="F52" s="24">
        <f>ROUND(9.31617,5)</f>
        <v>9.31617</v>
      </c>
      <c r="G52" s="25"/>
      <c r="H52" s="26"/>
    </row>
    <row r="53" spans="1:8" ht="12.75" customHeight="1">
      <c r="A53" s="23" t="s">
        <v>32</v>
      </c>
      <c r="B53" s="23"/>
      <c r="C53" s="28"/>
      <c r="D53" s="28"/>
      <c r="E53" s="28"/>
      <c r="F53" s="28"/>
      <c r="G53" s="25"/>
      <c r="H53" s="26"/>
    </row>
    <row r="54" spans="1:8" ht="12.75" customHeight="1">
      <c r="A54" s="23">
        <v>42586</v>
      </c>
      <c r="B54" s="23"/>
      <c r="C54" s="24">
        <f>ROUND(9.295,5)</f>
        <v>9.295</v>
      </c>
      <c r="D54" s="24">
        <f>F54</f>
        <v>9.30258</v>
      </c>
      <c r="E54" s="24">
        <f>F54</f>
        <v>9.30258</v>
      </c>
      <c r="F54" s="24">
        <f>ROUND(9.30258,5)</f>
        <v>9.30258</v>
      </c>
      <c r="G54" s="25"/>
      <c r="H54" s="26"/>
    </row>
    <row r="55" spans="1:8" ht="12.75" customHeight="1">
      <c r="A55" s="23">
        <v>42677</v>
      </c>
      <c r="B55" s="23"/>
      <c r="C55" s="24">
        <f>ROUND(9.295,5)</f>
        <v>9.295</v>
      </c>
      <c r="D55" s="24">
        <f>F55</f>
        <v>9.34913</v>
      </c>
      <c r="E55" s="24">
        <f>F55</f>
        <v>9.34913</v>
      </c>
      <c r="F55" s="24">
        <f>ROUND(9.34913,5)</f>
        <v>9.34913</v>
      </c>
      <c r="G55" s="25"/>
      <c r="H55" s="26"/>
    </row>
    <row r="56" spans="1:8" ht="12.75" customHeight="1">
      <c r="A56" s="23">
        <v>42768</v>
      </c>
      <c r="B56" s="23"/>
      <c r="C56" s="24">
        <f>ROUND(9.295,5)</f>
        <v>9.295</v>
      </c>
      <c r="D56" s="24">
        <f>F56</f>
        <v>9.39091</v>
      </c>
      <c r="E56" s="24">
        <f>F56</f>
        <v>9.39091</v>
      </c>
      <c r="F56" s="24">
        <f>ROUND(9.39091,5)</f>
        <v>9.39091</v>
      </c>
      <c r="G56" s="25"/>
      <c r="H56" s="26"/>
    </row>
    <row r="57" spans="1:8" ht="12.75" customHeight="1">
      <c r="A57" s="23">
        <v>42859</v>
      </c>
      <c r="B57" s="23"/>
      <c r="C57" s="24">
        <f>ROUND(9.295,5)</f>
        <v>9.295</v>
      </c>
      <c r="D57" s="24">
        <f>F57</f>
        <v>9.42143</v>
      </c>
      <c r="E57" s="24">
        <f>F57</f>
        <v>9.42143</v>
      </c>
      <c r="F57" s="24">
        <f>ROUND(9.42143,5)</f>
        <v>9.42143</v>
      </c>
      <c r="G57" s="25"/>
      <c r="H57" s="26"/>
    </row>
    <row r="58" spans="1:8" ht="12.75" customHeight="1">
      <c r="A58" s="23">
        <v>42950</v>
      </c>
      <c r="B58" s="23"/>
      <c r="C58" s="24">
        <f>ROUND(9.295,5)</f>
        <v>9.295</v>
      </c>
      <c r="D58" s="24">
        <f>F58</f>
        <v>9.44296</v>
      </c>
      <c r="E58" s="24">
        <f>F58</f>
        <v>9.44296</v>
      </c>
      <c r="F58" s="24">
        <f>ROUND(9.44296,5)</f>
        <v>9.44296</v>
      </c>
      <c r="G58" s="25"/>
      <c r="H58" s="26"/>
    </row>
    <row r="59" spans="1:8" ht="12.75" customHeight="1">
      <c r="A59" s="23" t="s">
        <v>33</v>
      </c>
      <c r="B59" s="23"/>
      <c r="C59" s="28"/>
      <c r="D59" s="28"/>
      <c r="E59" s="28"/>
      <c r="F59" s="28"/>
      <c r="G59" s="25"/>
      <c r="H59" s="26"/>
    </row>
    <row r="60" spans="1:8" ht="12.75" customHeight="1">
      <c r="A60" s="23">
        <v>42586</v>
      </c>
      <c r="B60" s="23"/>
      <c r="C60" s="24">
        <f>ROUND(107.36146,5)</f>
        <v>107.36146</v>
      </c>
      <c r="D60" s="24">
        <f>F60</f>
        <v>107.64333</v>
      </c>
      <c r="E60" s="24">
        <f>F60</f>
        <v>107.64333</v>
      </c>
      <c r="F60" s="24">
        <f>ROUND(107.64333,5)</f>
        <v>107.64333</v>
      </c>
      <c r="G60" s="25"/>
      <c r="H60" s="26"/>
    </row>
    <row r="61" spans="1:8" ht="12.75" customHeight="1">
      <c r="A61" s="23">
        <v>42677</v>
      </c>
      <c r="B61" s="23"/>
      <c r="C61" s="24">
        <f>ROUND(107.36146,5)</f>
        <v>107.36146</v>
      </c>
      <c r="D61" s="24">
        <f>F61</f>
        <v>108.66319</v>
      </c>
      <c r="E61" s="24">
        <f>F61</f>
        <v>108.66319</v>
      </c>
      <c r="F61" s="24">
        <f>ROUND(108.66319,5)</f>
        <v>108.66319</v>
      </c>
      <c r="G61" s="25"/>
      <c r="H61" s="26"/>
    </row>
    <row r="62" spans="1:8" ht="12.75" customHeight="1">
      <c r="A62" s="23">
        <v>42768</v>
      </c>
      <c r="B62" s="23"/>
      <c r="C62" s="24">
        <f>ROUND(107.36146,5)</f>
        <v>107.36146</v>
      </c>
      <c r="D62" s="24">
        <f>F62</f>
        <v>110.81069</v>
      </c>
      <c r="E62" s="24">
        <f>F62</f>
        <v>110.81069</v>
      </c>
      <c r="F62" s="24">
        <f>ROUND(110.81069,5)</f>
        <v>110.81069</v>
      </c>
      <c r="G62" s="25"/>
      <c r="H62" s="26"/>
    </row>
    <row r="63" spans="1:8" ht="12.75" customHeight="1">
      <c r="A63" s="23">
        <v>42859</v>
      </c>
      <c r="B63" s="23"/>
      <c r="C63" s="24">
        <f>ROUND(107.36146,5)</f>
        <v>107.36146</v>
      </c>
      <c r="D63" s="24">
        <f>F63</f>
        <v>112.06629</v>
      </c>
      <c r="E63" s="24">
        <f>F63</f>
        <v>112.06629</v>
      </c>
      <c r="F63" s="24">
        <f>ROUND(112.06629,5)</f>
        <v>112.06629</v>
      </c>
      <c r="G63" s="25"/>
      <c r="H63" s="26"/>
    </row>
    <row r="64" spans="1:8" ht="12.75" customHeight="1">
      <c r="A64" s="23">
        <v>42950</v>
      </c>
      <c r="B64" s="23"/>
      <c r="C64" s="24">
        <f>ROUND(107.36146,5)</f>
        <v>107.36146</v>
      </c>
      <c r="D64" s="24">
        <f>F64</f>
        <v>114.43047</v>
      </c>
      <c r="E64" s="24">
        <f>F64</f>
        <v>114.43047</v>
      </c>
      <c r="F64" s="24">
        <f>ROUND(114.43047,5)</f>
        <v>114.43047</v>
      </c>
      <c r="G64" s="25"/>
      <c r="H64" s="26"/>
    </row>
    <row r="65" spans="1:8" ht="12.75" customHeight="1">
      <c r="A65" s="23" t="s">
        <v>34</v>
      </c>
      <c r="B65" s="23"/>
      <c r="C65" s="27"/>
      <c r="D65" s="27"/>
      <c r="E65" s="27"/>
      <c r="F65" s="27"/>
      <c r="G65" s="25"/>
      <c r="H65" s="26"/>
    </row>
    <row r="66" spans="1:8" ht="12.75" customHeight="1">
      <c r="A66" s="23">
        <v>42586</v>
      </c>
      <c r="B66" s="23"/>
      <c r="C66" s="24">
        <f>ROUND(9.445,5)</f>
        <v>9.445</v>
      </c>
      <c r="D66" s="24">
        <f>F66</f>
        <v>9.45217</v>
      </c>
      <c r="E66" s="24">
        <f>F66</f>
        <v>9.45217</v>
      </c>
      <c r="F66" s="24">
        <f>ROUND(9.45217,5)</f>
        <v>9.45217</v>
      </c>
      <c r="G66" s="25"/>
      <c r="H66" s="26"/>
    </row>
    <row r="67" spans="1:8" ht="12.75" customHeight="1">
      <c r="A67" s="23">
        <v>42677</v>
      </c>
      <c r="B67" s="23"/>
      <c r="C67" s="24">
        <f>ROUND(9.445,5)</f>
        <v>9.445</v>
      </c>
      <c r="D67" s="24">
        <f>F67</f>
        <v>9.49608</v>
      </c>
      <c r="E67" s="24">
        <f>F67</f>
        <v>9.49608</v>
      </c>
      <c r="F67" s="24">
        <f>ROUND(9.49608,5)</f>
        <v>9.49608</v>
      </c>
      <c r="G67" s="25"/>
      <c r="H67" s="26"/>
    </row>
    <row r="68" spans="1:8" ht="12.75" customHeight="1">
      <c r="A68" s="23">
        <v>42768</v>
      </c>
      <c r="B68" s="23"/>
      <c r="C68" s="24">
        <f>ROUND(9.445,5)</f>
        <v>9.445</v>
      </c>
      <c r="D68" s="24">
        <f>F68</f>
        <v>9.53598</v>
      </c>
      <c r="E68" s="24">
        <f>F68</f>
        <v>9.53598</v>
      </c>
      <c r="F68" s="24">
        <f>ROUND(9.53598,5)</f>
        <v>9.53598</v>
      </c>
      <c r="G68" s="25"/>
      <c r="H68" s="26"/>
    </row>
    <row r="69" spans="1:8" ht="12.75" customHeight="1">
      <c r="A69" s="23">
        <v>42859</v>
      </c>
      <c r="B69" s="23"/>
      <c r="C69" s="24">
        <f>ROUND(9.445,5)</f>
        <v>9.445</v>
      </c>
      <c r="D69" s="24">
        <f>F69</f>
        <v>9.56923</v>
      </c>
      <c r="E69" s="24">
        <f>F69</f>
        <v>9.56923</v>
      </c>
      <c r="F69" s="24">
        <f>ROUND(9.56923,5)</f>
        <v>9.56923</v>
      </c>
      <c r="G69" s="25"/>
      <c r="H69" s="26"/>
    </row>
    <row r="70" spans="1:8" ht="12.75" customHeight="1">
      <c r="A70" s="23">
        <v>42950</v>
      </c>
      <c r="B70" s="23"/>
      <c r="C70" s="24">
        <f>ROUND(9.445,5)</f>
        <v>9.445</v>
      </c>
      <c r="D70" s="24">
        <f>F70</f>
        <v>9.59573</v>
      </c>
      <c r="E70" s="24">
        <f>F70</f>
        <v>9.59573</v>
      </c>
      <c r="F70" s="24">
        <f>ROUND(9.59573,5)</f>
        <v>9.59573</v>
      </c>
      <c r="G70" s="25"/>
      <c r="H70" s="26"/>
    </row>
    <row r="71" spans="1:8" ht="12.75" customHeight="1">
      <c r="A71" s="23" t="s">
        <v>35</v>
      </c>
      <c r="B71" s="23"/>
      <c r="C71" s="27"/>
      <c r="D71" s="27"/>
      <c r="E71" s="27"/>
      <c r="F71" s="27"/>
      <c r="G71" s="25"/>
      <c r="H71" s="26"/>
    </row>
    <row r="72" spans="1:8" ht="12.75" customHeight="1">
      <c r="A72" s="23">
        <v>42586</v>
      </c>
      <c r="B72" s="23"/>
      <c r="C72" s="24">
        <f>ROUND(1.89,5)</f>
        <v>1.89</v>
      </c>
      <c r="D72" s="24">
        <f>F72</f>
        <v>133.32364</v>
      </c>
      <c r="E72" s="24">
        <f>F72</f>
        <v>133.32364</v>
      </c>
      <c r="F72" s="24">
        <f>ROUND(133.32364,5)</f>
        <v>133.32364</v>
      </c>
      <c r="G72" s="25"/>
      <c r="H72" s="26"/>
    </row>
    <row r="73" spans="1:8" ht="12.75" customHeight="1">
      <c r="A73" s="23">
        <v>42677</v>
      </c>
      <c r="B73" s="23"/>
      <c r="C73" s="24">
        <f>ROUND(1.89,5)</f>
        <v>1.89</v>
      </c>
      <c r="D73" s="24">
        <f>F73</f>
        <v>135.84616</v>
      </c>
      <c r="E73" s="24">
        <f>F73</f>
        <v>135.84616</v>
      </c>
      <c r="F73" s="24">
        <f>ROUND(135.84616,5)</f>
        <v>135.84616</v>
      </c>
      <c r="G73" s="25"/>
      <c r="H73" s="26"/>
    </row>
    <row r="74" spans="1:8" ht="12.75" customHeight="1">
      <c r="A74" s="23">
        <v>42768</v>
      </c>
      <c r="B74" s="23"/>
      <c r="C74" s="24">
        <f>ROUND(1.89,5)</f>
        <v>1.89</v>
      </c>
      <c r="D74" s="24">
        <f>F74</f>
        <v>137.0841</v>
      </c>
      <c r="E74" s="24">
        <f>F74</f>
        <v>137.0841</v>
      </c>
      <c r="F74" s="24">
        <f>ROUND(137.0841,5)</f>
        <v>137.0841</v>
      </c>
      <c r="G74" s="25"/>
      <c r="H74" s="26"/>
    </row>
    <row r="75" spans="1:8" ht="12.75" customHeight="1">
      <c r="A75" s="23">
        <v>42859</v>
      </c>
      <c r="B75" s="23"/>
      <c r="C75" s="24">
        <f>ROUND(1.89,5)</f>
        <v>1.89</v>
      </c>
      <c r="D75" s="24">
        <f>F75</f>
        <v>139.92832</v>
      </c>
      <c r="E75" s="24">
        <f>F75</f>
        <v>139.92832</v>
      </c>
      <c r="F75" s="24">
        <f>ROUND(139.92832,5)</f>
        <v>139.92832</v>
      </c>
      <c r="G75" s="25"/>
      <c r="H75" s="26"/>
    </row>
    <row r="76" spans="1:8" ht="12.75" customHeight="1">
      <c r="A76" s="23">
        <v>42950</v>
      </c>
      <c r="B76" s="23"/>
      <c r="C76" s="24">
        <f>ROUND(1.89,5)</f>
        <v>1.89</v>
      </c>
      <c r="D76" s="24">
        <f>F76</f>
        <v>142.88023</v>
      </c>
      <c r="E76" s="24">
        <f>F76</f>
        <v>142.88023</v>
      </c>
      <c r="F76" s="24">
        <f>ROUND(142.88023,5)</f>
        <v>142.88023</v>
      </c>
      <c r="G76" s="25"/>
      <c r="H76" s="26"/>
    </row>
    <row r="77" spans="1:8" ht="12.75" customHeight="1">
      <c r="A77" s="23" t="s">
        <v>36</v>
      </c>
      <c r="B77" s="23"/>
      <c r="C77" s="28"/>
      <c r="D77" s="28"/>
      <c r="E77" s="28"/>
      <c r="F77" s="28"/>
      <c r="G77" s="25"/>
      <c r="H77" s="26"/>
    </row>
    <row r="78" spans="1:8" ht="12.75" customHeight="1">
      <c r="A78" s="23">
        <v>42586</v>
      </c>
      <c r="B78" s="23"/>
      <c r="C78" s="24">
        <f>ROUND(9.475,5)</f>
        <v>9.475</v>
      </c>
      <c r="D78" s="24">
        <f>F78</f>
        <v>9.48207</v>
      </c>
      <c r="E78" s="24">
        <f>F78</f>
        <v>9.48207</v>
      </c>
      <c r="F78" s="24">
        <f>ROUND(9.48207,5)</f>
        <v>9.48207</v>
      </c>
      <c r="G78" s="25"/>
      <c r="H78" s="26"/>
    </row>
    <row r="79" spans="1:8" ht="12.75" customHeight="1">
      <c r="A79" s="23">
        <v>42677</v>
      </c>
      <c r="B79" s="23"/>
      <c r="C79" s="24">
        <f>ROUND(9.475,5)</f>
        <v>9.475</v>
      </c>
      <c r="D79" s="24">
        <f>F79</f>
        <v>9.52547</v>
      </c>
      <c r="E79" s="24">
        <f>F79</f>
        <v>9.52547</v>
      </c>
      <c r="F79" s="24">
        <f>ROUND(9.52547,5)</f>
        <v>9.52547</v>
      </c>
      <c r="G79" s="25"/>
      <c r="H79" s="26"/>
    </row>
    <row r="80" spans="1:8" ht="12.75" customHeight="1">
      <c r="A80" s="23">
        <v>42768</v>
      </c>
      <c r="B80" s="23"/>
      <c r="C80" s="24">
        <f>ROUND(9.475,5)</f>
        <v>9.475</v>
      </c>
      <c r="D80" s="24">
        <f>F80</f>
        <v>9.56498</v>
      </c>
      <c r="E80" s="24">
        <f>F80</f>
        <v>9.56498</v>
      </c>
      <c r="F80" s="24">
        <f>ROUND(9.56498,5)</f>
        <v>9.56498</v>
      </c>
      <c r="G80" s="25"/>
      <c r="H80" s="26"/>
    </row>
    <row r="81" spans="1:8" ht="12.75" customHeight="1">
      <c r="A81" s="23">
        <v>42859</v>
      </c>
      <c r="B81" s="23"/>
      <c r="C81" s="24">
        <f>ROUND(9.475,5)</f>
        <v>9.475</v>
      </c>
      <c r="D81" s="24">
        <f>F81</f>
        <v>9.59796</v>
      </c>
      <c r="E81" s="24">
        <f>F81</f>
        <v>9.59796</v>
      </c>
      <c r="F81" s="24">
        <f>ROUND(9.59796,5)</f>
        <v>9.59796</v>
      </c>
      <c r="G81" s="25"/>
      <c r="H81" s="26"/>
    </row>
    <row r="82" spans="1:8" ht="12.75" customHeight="1">
      <c r="A82" s="23">
        <v>42950</v>
      </c>
      <c r="B82" s="23"/>
      <c r="C82" s="24">
        <f>ROUND(9.475,5)</f>
        <v>9.475</v>
      </c>
      <c r="D82" s="24">
        <f>F82</f>
        <v>9.62441</v>
      </c>
      <c r="E82" s="24">
        <f>F82</f>
        <v>9.62441</v>
      </c>
      <c r="F82" s="24">
        <f>ROUND(9.62441,5)</f>
        <v>9.62441</v>
      </c>
      <c r="G82" s="25"/>
      <c r="H82" s="26"/>
    </row>
    <row r="83" spans="1:8" ht="12.75" customHeight="1">
      <c r="A83" s="23" t="s">
        <v>37</v>
      </c>
      <c r="B83" s="23"/>
      <c r="C83" s="30"/>
      <c r="D83" s="30"/>
      <c r="E83" s="30"/>
      <c r="F83" s="30"/>
      <c r="G83" s="25"/>
      <c r="H83" s="26"/>
    </row>
    <row r="84" spans="1:8" ht="12.75" customHeight="1">
      <c r="A84" s="23">
        <v>42586</v>
      </c>
      <c r="B84" s="23"/>
      <c r="C84" s="24">
        <f>ROUND(9.525,5)</f>
        <v>9.525</v>
      </c>
      <c r="D84" s="24">
        <f>F84</f>
        <v>9.53198</v>
      </c>
      <c r="E84" s="24">
        <f>F84</f>
        <v>9.53198</v>
      </c>
      <c r="F84" s="24">
        <f>ROUND(9.53198,5)</f>
        <v>9.53198</v>
      </c>
      <c r="G84" s="25"/>
      <c r="H84" s="26"/>
    </row>
    <row r="85" spans="1:8" ht="12.75" customHeight="1">
      <c r="A85" s="23">
        <v>42677</v>
      </c>
      <c r="B85" s="23"/>
      <c r="C85" s="24">
        <f>ROUND(9.525,5)</f>
        <v>9.525</v>
      </c>
      <c r="D85" s="24">
        <f>F85</f>
        <v>9.57495</v>
      </c>
      <c r="E85" s="24">
        <f>F85</f>
        <v>9.57495</v>
      </c>
      <c r="F85" s="24">
        <f>ROUND(9.57495,5)</f>
        <v>9.57495</v>
      </c>
      <c r="G85" s="25"/>
      <c r="H85" s="26"/>
    </row>
    <row r="86" spans="1:8" ht="12.75" customHeight="1">
      <c r="A86" s="23">
        <v>42768</v>
      </c>
      <c r="B86" s="23"/>
      <c r="C86" s="24">
        <f>ROUND(9.525,5)</f>
        <v>9.525</v>
      </c>
      <c r="D86" s="24">
        <f>F86</f>
        <v>9.61419</v>
      </c>
      <c r="E86" s="24">
        <f>F86</f>
        <v>9.61419</v>
      </c>
      <c r="F86" s="24">
        <f>ROUND(9.61419,5)</f>
        <v>9.61419</v>
      </c>
      <c r="G86" s="25"/>
      <c r="H86" s="26"/>
    </row>
    <row r="87" spans="1:8" ht="12.75" customHeight="1">
      <c r="A87" s="23">
        <v>42859</v>
      </c>
      <c r="B87" s="23"/>
      <c r="C87" s="24">
        <f>ROUND(9.525,5)</f>
        <v>9.525</v>
      </c>
      <c r="D87" s="24">
        <f>F87</f>
        <v>9.64712</v>
      </c>
      <c r="E87" s="24">
        <f>F87</f>
        <v>9.64712</v>
      </c>
      <c r="F87" s="24">
        <f>ROUND(9.64712,5)</f>
        <v>9.64712</v>
      </c>
      <c r="G87" s="25"/>
      <c r="H87" s="26"/>
    </row>
    <row r="88" spans="1:8" ht="12.75" customHeight="1">
      <c r="A88" s="23">
        <v>42950</v>
      </c>
      <c r="B88" s="23"/>
      <c r="C88" s="24">
        <f>ROUND(9.525,5)</f>
        <v>9.525</v>
      </c>
      <c r="D88" s="24">
        <f>F88</f>
        <v>9.67378</v>
      </c>
      <c r="E88" s="24">
        <f>F88</f>
        <v>9.67378</v>
      </c>
      <c r="F88" s="24">
        <f>ROUND(9.67378,5)</f>
        <v>9.67378</v>
      </c>
      <c r="G88" s="25"/>
      <c r="H88" s="26"/>
    </row>
    <row r="89" spans="1:8" ht="12.75" customHeight="1">
      <c r="A89" s="23" t="s">
        <v>38</v>
      </c>
      <c r="B89" s="23"/>
      <c r="C89" s="28"/>
      <c r="D89" s="28"/>
      <c r="E89" s="28"/>
      <c r="F89" s="28"/>
      <c r="G89" s="25"/>
      <c r="H89" s="26"/>
    </row>
    <row r="90" spans="1:8" ht="12.75" customHeight="1">
      <c r="A90" s="23">
        <v>42586</v>
      </c>
      <c r="B90" s="23"/>
      <c r="C90" s="24">
        <f>ROUND(133.81991,5)</f>
        <v>133.81991</v>
      </c>
      <c r="D90" s="24">
        <f>F90</f>
        <v>134.17128</v>
      </c>
      <c r="E90" s="24">
        <f>F90</f>
        <v>134.17128</v>
      </c>
      <c r="F90" s="24">
        <f>ROUND(134.17128,5)</f>
        <v>134.17128</v>
      </c>
      <c r="G90" s="25"/>
      <c r="H90" s="26"/>
    </row>
    <row r="91" spans="1:8" ht="12.75" customHeight="1">
      <c r="A91" s="23">
        <v>42677</v>
      </c>
      <c r="B91" s="23"/>
      <c r="C91" s="24">
        <f>ROUND(133.81991,5)</f>
        <v>133.81991</v>
      </c>
      <c r="D91" s="24">
        <f>F91</f>
        <v>135.20783</v>
      </c>
      <c r="E91" s="24">
        <f>F91</f>
        <v>135.20783</v>
      </c>
      <c r="F91" s="24">
        <f>ROUND(135.20783,5)</f>
        <v>135.20783</v>
      </c>
      <c r="G91" s="25"/>
      <c r="H91" s="26"/>
    </row>
    <row r="92" spans="1:8" ht="12.75" customHeight="1">
      <c r="A92" s="23">
        <v>42768</v>
      </c>
      <c r="B92" s="23"/>
      <c r="C92" s="24">
        <f>ROUND(133.81991,5)</f>
        <v>133.81991</v>
      </c>
      <c r="D92" s="24">
        <f>F92</f>
        <v>137.87986</v>
      </c>
      <c r="E92" s="24">
        <f>F92</f>
        <v>137.87986</v>
      </c>
      <c r="F92" s="24">
        <f>ROUND(137.87986,5)</f>
        <v>137.87986</v>
      </c>
      <c r="G92" s="25"/>
      <c r="H92" s="26"/>
    </row>
    <row r="93" spans="1:8" ht="12.75" customHeight="1">
      <c r="A93" s="23">
        <v>42859</v>
      </c>
      <c r="B93" s="23"/>
      <c r="C93" s="24">
        <f>ROUND(133.81991,5)</f>
        <v>133.81991</v>
      </c>
      <c r="D93" s="24">
        <f>F93</f>
        <v>139.20987</v>
      </c>
      <c r="E93" s="24">
        <f>F93</f>
        <v>139.20987</v>
      </c>
      <c r="F93" s="24">
        <f>ROUND(139.20987,5)</f>
        <v>139.20987</v>
      </c>
      <c r="G93" s="25"/>
      <c r="H93" s="26"/>
    </row>
    <row r="94" spans="1:8" ht="12.75" customHeight="1">
      <c r="A94" s="23">
        <v>42950</v>
      </c>
      <c r="B94" s="23"/>
      <c r="C94" s="24">
        <f>ROUND(133.81991,5)</f>
        <v>133.81991</v>
      </c>
      <c r="D94" s="24">
        <f>F94</f>
        <v>142.14685</v>
      </c>
      <c r="E94" s="24">
        <f>F94</f>
        <v>142.14685</v>
      </c>
      <c r="F94" s="24">
        <f>ROUND(142.14685,5)</f>
        <v>142.14685</v>
      </c>
      <c r="G94" s="25"/>
      <c r="H94" s="26"/>
    </row>
    <row r="95" spans="1:8" ht="12.75" customHeight="1">
      <c r="A95" s="23" t="s">
        <v>39</v>
      </c>
      <c r="B95" s="23"/>
      <c r="C95" s="28"/>
      <c r="D95" s="28"/>
      <c r="E95" s="28"/>
      <c r="F95" s="28"/>
      <c r="G95" s="25"/>
      <c r="H95" s="26"/>
    </row>
    <row r="96" spans="1:8" ht="12.75" customHeight="1">
      <c r="A96" s="23">
        <v>42586</v>
      </c>
      <c r="B96" s="23"/>
      <c r="C96" s="24">
        <f>ROUND(1.97,5)</f>
        <v>1.97</v>
      </c>
      <c r="D96" s="24">
        <f>F96</f>
        <v>142.06206</v>
      </c>
      <c r="E96" s="24">
        <f>F96</f>
        <v>142.06206</v>
      </c>
      <c r="F96" s="24">
        <f>ROUND(142.06206,5)</f>
        <v>142.06206</v>
      </c>
      <c r="G96" s="25"/>
      <c r="H96" s="26"/>
    </row>
    <row r="97" spans="1:8" ht="12.75" customHeight="1">
      <c r="A97" s="23">
        <v>42677</v>
      </c>
      <c r="B97" s="23"/>
      <c r="C97" s="24">
        <f>ROUND(1.97,5)</f>
        <v>1.97</v>
      </c>
      <c r="D97" s="24">
        <f>F97</f>
        <v>144.75003</v>
      </c>
      <c r="E97" s="24">
        <f>F97</f>
        <v>144.75003</v>
      </c>
      <c r="F97" s="24">
        <f>ROUND(144.75003,5)</f>
        <v>144.75003</v>
      </c>
      <c r="G97" s="25"/>
      <c r="H97" s="26"/>
    </row>
    <row r="98" spans="1:8" ht="12.75" customHeight="1">
      <c r="A98" s="23">
        <v>42768</v>
      </c>
      <c r="B98" s="23"/>
      <c r="C98" s="24">
        <f>ROUND(1.97,5)</f>
        <v>1.97</v>
      </c>
      <c r="D98" s="24">
        <f>F98</f>
        <v>145.99745</v>
      </c>
      <c r="E98" s="24">
        <f>F98</f>
        <v>145.99745</v>
      </c>
      <c r="F98" s="24">
        <f>ROUND(145.99745,5)</f>
        <v>145.99745</v>
      </c>
      <c r="G98" s="25"/>
      <c r="H98" s="26"/>
    </row>
    <row r="99" spans="1:8" ht="12.75" customHeight="1">
      <c r="A99" s="23">
        <v>42859</v>
      </c>
      <c r="B99" s="23"/>
      <c r="C99" s="24">
        <f>ROUND(1.97,5)</f>
        <v>1.97</v>
      </c>
      <c r="D99" s="24">
        <f>F99</f>
        <v>149.02666</v>
      </c>
      <c r="E99" s="24">
        <f>F99</f>
        <v>149.02666</v>
      </c>
      <c r="F99" s="24">
        <f>ROUND(149.02666,5)</f>
        <v>149.02666</v>
      </c>
      <c r="G99" s="25"/>
      <c r="H99" s="26"/>
    </row>
    <row r="100" spans="1:8" ht="12.75" customHeight="1">
      <c r="A100" s="23">
        <v>42950</v>
      </c>
      <c r="B100" s="23"/>
      <c r="C100" s="24">
        <f>ROUND(1.97,5)</f>
        <v>1.97</v>
      </c>
      <c r="D100" s="24">
        <f>F100</f>
        <v>152.17047</v>
      </c>
      <c r="E100" s="24">
        <f>F100</f>
        <v>152.17047</v>
      </c>
      <c r="F100" s="24">
        <f>ROUND(152.17047,5)</f>
        <v>152.17047</v>
      </c>
      <c r="G100" s="25"/>
      <c r="H100" s="26"/>
    </row>
    <row r="101" spans="1:8" ht="12.75" customHeight="1">
      <c r="A101" s="23" t="s">
        <v>40</v>
      </c>
      <c r="B101" s="23"/>
      <c r="C101" s="28"/>
      <c r="D101" s="28"/>
      <c r="E101" s="28"/>
      <c r="F101" s="28"/>
      <c r="G101" s="25"/>
      <c r="H101" s="26"/>
    </row>
    <row r="102" spans="1:8" ht="12.75" customHeight="1">
      <c r="A102" s="23">
        <v>42586</v>
      </c>
      <c r="B102" s="23"/>
      <c r="C102" s="24">
        <f>ROUND(2.33,5)</f>
        <v>2.33</v>
      </c>
      <c r="D102" s="24">
        <f>F102</f>
        <v>131.14285</v>
      </c>
      <c r="E102" s="24">
        <f>F102</f>
        <v>131.14285</v>
      </c>
      <c r="F102" s="24">
        <f>ROUND(131.14285,5)</f>
        <v>131.14285</v>
      </c>
      <c r="G102" s="25"/>
      <c r="H102" s="26"/>
    </row>
    <row r="103" spans="1:8" ht="12.75" customHeight="1">
      <c r="A103" s="23">
        <v>42677</v>
      </c>
      <c r="B103" s="23"/>
      <c r="C103" s="24">
        <f>ROUND(2.33,5)</f>
        <v>2.33</v>
      </c>
      <c r="D103" s="24">
        <f>F103</f>
        <v>131.96368</v>
      </c>
      <c r="E103" s="24">
        <f>F103</f>
        <v>131.96368</v>
      </c>
      <c r="F103" s="24">
        <f>ROUND(131.96368,5)</f>
        <v>131.96368</v>
      </c>
      <c r="G103" s="25"/>
      <c r="H103" s="26"/>
    </row>
    <row r="104" spans="1:8" ht="12.75" customHeight="1">
      <c r="A104" s="23">
        <v>42768</v>
      </c>
      <c r="B104" s="23"/>
      <c r="C104" s="24">
        <f>ROUND(2.33,5)</f>
        <v>2.33</v>
      </c>
      <c r="D104" s="24">
        <f>F104</f>
        <v>134.57183</v>
      </c>
      <c r="E104" s="24">
        <f>F104</f>
        <v>134.57183</v>
      </c>
      <c r="F104" s="24">
        <f>ROUND(134.57183,5)</f>
        <v>134.57183</v>
      </c>
      <c r="G104" s="25"/>
      <c r="H104" s="26"/>
    </row>
    <row r="105" spans="1:8" ht="12.75" customHeight="1">
      <c r="A105" s="23">
        <v>42859</v>
      </c>
      <c r="B105" s="23"/>
      <c r="C105" s="24">
        <f>ROUND(2.33,5)</f>
        <v>2.33</v>
      </c>
      <c r="D105" s="24">
        <f>F105</f>
        <v>137.36382</v>
      </c>
      <c r="E105" s="24">
        <f>F105</f>
        <v>137.36382</v>
      </c>
      <c r="F105" s="24">
        <f>ROUND(137.36382,5)</f>
        <v>137.36382</v>
      </c>
      <c r="G105" s="25"/>
      <c r="H105" s="26"/>
    </row>
    <row r="106" spans="1:8" ht="12.75" customHeight="1">
      <c r="A106" s="23">
        <v>42950</v>
      </c>
      <c r="B106" s="23"/>
      <c r="C106" s="24">
        <f>ROUND(2.33,5)</f>
        <v>2.33</v>
      </c>
      <c r="D106" s="24">
        <f>F106</f>
        <v>140.26151</v>
      </c>
      <c r="E106" s="24">
        <f>F106</f>
        <v>140.26151</v>
      </c>
      <c r="F106" s="24">
        <f>ROUND(140.26151,5)</f>
        <v>140.26151</v>
      </c>
      <c r="G106" s="25"/>
      <c r="H106" s="26"/>
    </row>
    <row r="107" spans="1:8" ht="12.75" customHeight="1">
      <c r="A107" s="23" t="s">
        <v>41</v>
      </c>
      <c r="B107" s="23"/>
      <c r="C107" s="28"/>
      <c r="D107" s="28"/>
      <c r="E107" s="28"/>
      <c r="F107" s="28"/>
      <c r="G107" s="25"/>
      <c r="H107" s="26"/>
    </row>
    <row r="108" spans="1:8" ht="12.75" customHeight="1">
      <c r="A108" s="23">
        <v>42586</v>
      </c>
      <c r="B108" s="23"/>
      <c r="C108" s="24">
        <f>ROUND(10.31,5)</f>
        <v>10.31</v>
      </c>
      <c r="D108" s="24">
        <f>F108</f>
        <v>10.32149</v>
      </c>
      <c r="E108" s="24">
        <f>F108</f>
        <v>10.32149</v>
      </c>
      <c r="F108" s="24">
        <f>ROUND(10.32149,5)</f>
        <v>10.32149</v>
      </c>
      <c r="G108" s="25"/>
      <c r="H108" s="26"/>
    </row>
    <row r="109" spans="1:8" ht="12.75" customHeight="1">
      <c r="A109" s="23">
        <v>42677</v>
      </c>
      <c r="B109" s="23"/>
      <c r="C109" s="24">
        <f>ROUND(10.31,5)</f>
        <v>10.31</v>
      </c>
      <c r="D109" s="24">
        <f>F109</f>
        <v>10.39722</v>
      </c>
      <c r="E109" s="24">
        <f>F109</f>
        <v>10.39722</v>
      </c>
      <c r="F109" s="24">
        <f>ROUND(10.39722,5)</f>
        <v>10.39722</v>
      </c>
      <c r="G109" s="25"/>
      <c r="H109" s="26"/>
    </row>
    <row r="110" spans="1:8" ht="12.75" customHeight="1">
      <c r="A110" s="23">
        <v>42768</v>
      </c>
      <c r="B110" s="23"/>
      <c r="C110" s="24">
        <f>ROUND(10.31,5)</f>
        <v>10.31</v>
      </c>
      <c r="D110" s="24">
        <f>F110</f>
        <v>10.47141</v>
      </c>
      <c r="E110" s="24">
        <f>F110</f>
        <v>10.47141</v>
      </c>
      <c r="F110" s="24">
        <f>ROUND(10.47141,5)</f>
        <v>10.47141</v>
      </c>
      <c r="G110" s="25"/>
      <c r="H110" s="26"/>
    </row>
    <row r="111" spans="1:8" ht="12.75" customHeight="1">
      <c r="A111" s="23">
        <v>42859</v>
      </c>
      <c r="B111" s="23"/>
      <c r="C111" s="24">
        <f>ROUND(10.31,5)</f>
        <v>10.31</v>
      </c>
      <c r="D111" s="24">
        <f>F111</f>
        <v>10.53277</v>
      </c>
      <c r="E111" s="24">
        <f>F111</f>
        <v>10.53277</v>
      </c>
      <c r="F111" s="24">
        <f>ROUND(10.53277,5)</f>
        <v>10.53277</v>
      </c>
      <c r="G111" s="25"/>
      <c r="H111" s="26"/>
    </row>
    <row r="112" spans="1:8" ht="12.75" customHeight="1">
      <c r="A112" s="23">
        <v>42950</v>
      </c>
      <c r="B112" s="23"/>
      <c r="C112" s="24">
        <f>ROUND(10.31,5)</f>
        <v>10.31</v>
      </c>
      <c r="D112" s="24">
        <f>F112</f>
        <v>10.58559</v>
      </c>
      <c r="E112" s="24">
        <f>F112</f>
        <v>10.58559</v>
      </c>
      <c r="F112" s="24">
        <f>ROUND(10.58559,5)</f>
        <v>10.58559</v>
      </c>
      <c r="G112" s="25"/>
      <c r="H112" s="26"/>
    </row>
    <row r="113" spans="1:8" ht="12.75" customHeight="1">
      <c r="A113" s="23" t="s">
        <v>42</v>
      </c>
      <c r="B113" s="23"/>
      <c r="C113" s="28"/>
      <c r="D113" s="28"/>
      <c r="E113" s="28"/>
      <c r="F113" s="28"/>
      <c r="G113" s="25"/>
      <c r="H113" s="26"/>
    </row>
    <row r="114" spans="1:8" ht="12.75" customHeight="1">
      <c r="A114" s="23">
        <v>42586</v>
      </c>
      <c r="B114" s="23"/>
      <c r="C114" s="24">
        <f>ROUND(10.43,5)</f>
        <v>10.43</v>
      </c>
      <c r="D114" s="24">
        <f>F114</f>
        <v>10.44125</v>
      </c>
      <c r="E114" s="24">
        <f>F114</f>
        <v>10.44125</v>
      </c>
      <c r="F114" s="24">
        <f>ROUND(10.44125,5)</f>
        <v>10.44125</v>
      </c>
      <c r="G114" s="25"/>
      <c r="H114" s="26"/>
    </row>
    <row r="115" spans="1:8" ht="12.75" customHeight="1">
      <c r="A115" s="23">
        <v>42677</v>
      </c>
      <c r="B115" s="23"/>
      <c r="C115" s="24">
        <f>ROUND(10.43,5)</f>
        <v>10.43</v>
      </c>
      <c r="D115" s="24">
        <f>F115</f>
        <v>10.51455</v>
      </c>
      <c r="E115" s="24">
        <f>F115</f>
        <v>10.51455</v>
      </c>
      <c r="F115" s="24">
        <f>ROUND(10.51455,5)</f>
        <v>10.51455</v>
      </c>
      <c r="G115" s="25"/>
      <c r="H115" s="26"/>
    </row>
    <row r="116" spans="1:8" ht="12.75" customHeight="1">
      <c r="A116" s="23">
        <v>42768</v>
      </c>
      <c r="B116" s="23"/>
      <c r="C116" s="24">
        <f>ROUND(10.43,5)</f>
        <v>10.43</v>
      </c>
      <c r="D116" s="24">
        <f>F116</f>
        <v>10.58401</v>
      </c>
      <c r="E116" s="24">
        <f>F116</f>
        <v>10.58401</v>
      </c>
      <c r="F116" s="24">
        <f>ROUND(10.58401,5)</f>
        <v>10.58401</v>
      </c>
      <c r="G116" s="25"/>
      <c r="H116" s="26"/>
    </row>
    <row r="117" spans="1:8" ht="12.75" customHeight="1">
      <c r="A117" s="23">
        <v>42859</v>
      </c>
      <c r="B117" s="23"/>
      <c r="C117" s="24">
        <f>ROUND(10.43,5)</f>
        <v>10.43</v>
      </c>
      <c r="D117" s="24">
        <f>F117</f>
        <v>10.64552</v>
      </c>
      <c r="E117" s="24">
        <f>F117</f>
        <v>10.64552</v>
      </c>
      <c r="F117" s="24">
        <f>ROUND(10.64552,5)</f>
        <v>10.64552</v>
      </c>
      <c r="G117" s="25"/>
      <c r="H117" s="26"/>
    </row>
    <row r="118" spans="1:8" ht="12.75" customHeight="1">
      <c r="A118" s="23">
        <v>42950</v>
      </c>
      <c r="B118" s="23"/>
      <c r="C118" s="24">
        <f>ROUND(10.43,5)</f>
        <v>10.43</v>
      </c>
      <c r="D118" s="24">
        <f>F118</f>
        <v>10.69818</v>
      </c>
      <c r="E118" s="24">
        <f>F118</f>
        <v>10.69818</v>
      </c>
      <c r="F118" s="24">
        <f>ROUND(10.69818,5)</f>
        <v>10.69818</v>
      </c>
      <c r="G118" s="25"/>
      <c r="H118" s="26"/>
    </row>
    <row r="119" spans="1:8" ht="12.75" customHeight="1">
      <c r="A119" s="23" t="s">
        <v>43</v>
      </c>
      <c r="B119" s="23"/>
      <c r="C119" s="27"/>
      <c r="D119" s="27"/>
      <c r="E119" s="27"/>
      <c r="F119" s="27"/>
      <c r="G119" s="25"/>
      <c r="H119" s="26"/>
    </row>
    <row r="120" spans="1:8" ht="12.75" customHeight="1">
      <c r="A120" s="23">
        <v>42586</v>
      </c>
      <c r="B120" s="23"/>
      <c r="C120" s="24">
        <f>ROUND(152.2305792,5)</f>
        <v>152.23058</v>
      </c>
      <c r="D120" s="24">
        <f>F120</f>
        <v>152.63024</v>
      </c>
      <c r="E120" s="24">
        <f>F120</f>
        <v>152.63024</v>
      </c>
      <c r="F120" s="24">
        <f>ROUND(152.63024,5)</f>
        <v>152.63024</v>
      </c>
      <c r="G120" s="25"/>
      <c r="H120" s="26"/>
    </row>
    <row r="121" spans="1:8" ht="12.75" customHeight="1">
      <c r="A121" s="23">
        <v>42677</v>
      </c>
      <c r="B121" s="23"/>
      <c r="C121" s="24">
        <f>ROUND(152.2305792,5)</f>
        <v>152.23058</v>
      </c>
      <c r="D121" s="24">
        <f>F121</f>
        <v>155.51795</v>
      </c>
      <c r="E121" s="24">
        <f>F121</f>
        <v>155.51795</v>
      </c>
      <c r="F121" s="24">
        <f>ROUND(155.51795,5)</f>
        <v>155.51795</v>
      </c>
      <c r="G121" s="25"/>
      <c r="H121" s="26"/>
    </row>
    <row r="122" spans="1:8" ht="12.75" customHeight="1">
      <c r="A122" s="23" t="s">
        <v>44</v>
      </c>
      <c r="B122" s="23"/>
      <c r="C122" s="27"/>
      <c r="D122" s="27"/>
      <c r="E122" s="27"/>
      <c r="F122" s="27"/>
      <c r="G122" s="25"/>
      <c r="H122" s="26"/>
    </row>
    <row r="123" spans="1:8" ht="12.75" customHeight="1">
      <c r="A123" s="23">
        <v>42586</v>
      </c>
      <c r="B123" s="23"/>
      <c r="C123" s="24">
        <f>ROUND(8.48,5)</f>
        <v>8.48</v>
      </c>
      <c r="D123" s="24">
        <f>F123</f>
        <v>8.48629</v>
      </c>
      <c r="E123" s="24">
        <f>F123</f>
        <v>8.48629</v>
      </c>
      <c r="F123" s="24">
        <f>ROUND(8.48629,5)</f>
        <v>8.48629</v>
      </c>
      <c r="G123" s="25"/>
      <c r="H123" s="26"/>
    </row>
    <row r="124" spans="1:8" ht="12.75" customHeight="1">
      <c r="A124" s="23">
        <v>42677</v>
      </c>
      <c r="B124" s="23"/>
      <c r="C124" s="24">
        <f>ROUND(8.48,5)</f>
        <v>8.48</v>
      </c>
      <c r="D124" s="24">
        <f>F124</f>
        <v>8.52564</v>
      </c>
      <c r="E124" s="24">
        <f>F124</f>
        <v>8.52564</v>
      </c>
      <c r="F124" s="24">
        <f>ROUND(8.52564,5)</f>
        <v>8.52564</v>
      </c>
      <c r="G124" s="25"/>
      <c r="H124" s="26"/>
    </row>
    <row r="125" spans="1:8" ht="12.75" customHeight="1">
      <c r="A125" s="23">
        <v>42768</v>
      </c>
      <c r="B125" s="23"/>
      <c r="C125" s="24">
        <f>ROUND(8.48,5)</f>
        <v>8.48</v>
      </c>
      <c r="D125" s="24">
        <f>F125</f>
        <v>8.55796</v>
      </c>
      <c r="E125" s="24">
        <f>F125</f>
        <v>8.55796</v>
      </c>
      <c r="F125" s="24">
        <f>ROUND(8.55796,5)</f>
        <v>8.55796</v>
      </c>
      <c r="G125" s="25"/>
      <c r="H125" s="26"/>
    </row>
    <row r="126" spans="1:8" ht="12.75" customHeight="1">
      <c r="A126" s="23">
        <v>42859</v>
      </c>
      <c r="B126" s="23"/>
      <c r="C126" s="24">
        <f>ROUND(8.48,5)</f>
        <v>8.48</v>
      </c>
      <c r="D126" s="24">
        <f>F126</f>
        <v>8.56493</v>
      </c>
      <c r="E126" s="24">
        <f>F126</f>
        <v>8.56493</v>
      </c>
      <c r="F126" s="24">
        <f>ROUND(8.56493,5)</f>
        <v>8.56493</v>
      </c>
      <c r="G126" s="25"/>
      <c r="H126" s="26"/>
    </row>
    <row r="127" spans="1:8" ht="12.75" customHeight="1">
      <c r="A127" s="23">
        <v>42950</v>
      </c>
      <c r="B127" s="23"/>
      <c r="C127" s="24">
        <f>ROUND(8.48,5)</f>
        <v>8.48</v>
      </c>
      <c r="D127" s="24">
        <f>F127</f>
        <v>8.55419</v>
      </c>
      <c r="E127" s="24">
        <f>F127</f>
        <v>8.55419</v>
      </c>
      <c r="F127" s="24">
        <f>ROUND(8.55419,5)</f>
        <v>8.55419</v>
      </c>
      <c r="G127" s="25"/>
      <c r="H127" s="26"/>
    </row>
    <row r="128" spans="1:8" ht="12.75" customHeight="1">
      <c r="A128" s="23" t="s">
        <v>45</v>
      </c>
      <c r="B128" s="23"/>
      <c r="C128" s="27"/>
      <c r="D128" s="27"/>
      <c r="E128" s="27"/>
      <c r="F128" s="27"/>
      <c r="G128" s="25"/>
      <c r="H128" s="26"/>
    </row>
    <row r="129" spans="1:8" ht="12.75" customHeight="1">
      <c r="A129" s="23">
        <v>42586</v>
      </c>
      <c r="B129" s="23"/>
      <c r="C129" s="24">
        <f>ROUND(9.385,5)</f>
        <v>9.385</v>
      </c>
      <c r="D129" s="24">
        <f>F129</f>
        <v>9.3922</v>
      </c>
      <c r="E129" s="24">
        <f>F129</f>
        <v>9.3922</v>
      </c>
      <c r="F129" s="24">
        <f>ROUND(9.3922,5)</f>
        <v>9.3922</v>
      </c>
      <c r="G129" s="25"/>
      <c r="H129" s="26"/>
    </row>
    <row r="130" spans="1:8" ht="12.75" customHeight="1">
      <c r="A130" s="23">
        <v>42677</v>
      </c>
      <c r="B130" s="23"/>
      <c r="C130" s="24">
        <f>ROUND(9.385,5)</f>
        <v>9.385</v>
      </c>
      <c r="D130" s="24">
        <f>F130</f>
        <v>9.43941</v>
      </c>
      <c r="E130" s="24">
        <f>F130</f>
        <v>9.43941</v>
      </c>
      <c r="F130" s="24">
        <f>ROUND(9.43941,5)</f>
        <v>9.43941</v>
      </c>
      <c r="G130" s="25"/>
      <c r="H130" s="26"/>
    </row>
    <row r="131" spans="1:8" ht="12.75" customHeight="1">
      <c r="A131" s="23">
        <v>42768</v>
      </c>
      <c r="B131" s="23"/>
      <c r="C131" s="24">
        <f>ROUND(9.385,5)</f>
        <v>9.385</v>
      </c>
      <c r="D131" s="24">
        <f>F131</f>
        <v>9.48343</v>
      </c>
      <c r="E131" s="24">
        <f>F131</f>
        <v>9.48343</v>
      </c>
      <c r="F131" s="24">
        <f>ROUND(9.48343,5)</f>
        <v>9.48343</v>
      </c>
      <c r="G131" s="25"/>
      <c r="H131" s="26"/>
    </row>
    <row r="132" spans="1:8" ht="12.75" customHeight="1">
      <c r="A132" s="23">
        <v>42859</v>
      </c>
      <c r="B132" s="23"/>
      <c r="C132" s="24">
        <f>ROUND(9.385,5)</f>
        <v>9.385</v>
      </c>
      <c r="D132" s="24">
        <f>F132</f>
        <v>9.51332</v>
      </c>
      <c r="E132" s="24">
        <f>F132</f>
        <v>9.51332</v>
      </c>
      <c r="F132" s="24">
        <f>ROUND(9.51332,5)</f>
        <v>9.51332</v>
      </c>
      <c r="G132" s="25"/>
      <c r="H132" s="26"/>
    </row>
    <row r="133" spans="1:8" ht="12.75" customHeight="1">
      <c r="A133" s="23">
        <v>42950</v>
      </c>
      <c r="B133" s="23"/>
      <c r="C133" s="24">
        <f>ROUND(9.385,5)</f>
        <v>9.385</v>
      </c>
      <c r="D133" s="24">
        <f>F133</f>
        <v>9.53497</v>
      </c>
      <c r="E133" s="24">
        <f>F133</f>
        <v>9.53497</v>
      </c>
      <c r="F133" s="24">
        <f>ROUND(9.53497,5)</f>
        <v>9.53497</v>
      </c>
      <c r="G133" s="25"/>
      <c r="H133" s="26"/>
    </row>
    <row r="134" spans="1:8" ht="12.75" customHeight="1">
      <c r="A134" s="23" t="s">
        <v>46</v>
      </c>
      <c r="B134" s="23"/>
      <c r="C134" s="27"/>
      <c r="D134" s="27"/>
      <c r="E134" s="27"/>
      <c r="F134" s="27"/>
      <c r="G134" s="25"/>
      <c r="H134" s="26"/>
    </row>
    <row r="135" spans="1:8" ht="12.75" customHeight="1">
      <c r="A135" s="23">
        <v>42586</v>
      </c>
      <c r="B135" s="23"/>
      <c r="C135" s="24">
        <f>ROUND(8.78,5)</f>
        <v>8.78</v>
      </c>
      <c r="D135" s="24">
        <f>F135</f>
        <v>8.78686</v>
      </c>
      <c r="E135" s="24">
        <f>F135</f>
        <v>8.78686</v>
      </c>
      <c r="F135" s="24">
        <f>ROUND(8.78686,5)</f>
        <v>8.78686</v>
      </c>
      <c r="G135" s="25"/>
      <c r="H135" s="26"/>
    </row>
    <row r="136" spans="1:8" ht="12.75" customHeight="1">
      <c r="A136" s="23">
        <v>42677</v>
      </c>
      <c r="B136" s="23"/>
      <c r="C136" s="24">
        <f>ROUND(8.78,5)</f>
        <v>8.78</v>
      </c>
      <c r="D136" s="24">
        <f>F136</f>
        <v>8.82681</v>
      </c>
      <c r="E136" s="24">
        <f>F136</f>
        <v>8.82681</v>
      </c>
      <c r="F136" s="24">
        <f>ROUND(8.82681,5)</f>
        <v>8.82681</v>
      </c>
      <c r="G136" s="25"/>
      <c r="H136" s="26"/>
    </row>
    <row r="137" spans="1:8" ht="12.75" customHeight="1">
      <c r="A137" s="23">
        <v>42768</v>
      </c>
      <c r="B137" s="23"/>
      <c r="C137" s="24">
        <f>ROUND(8.78,5)</f>
        <v>8.78</v>
      </c>
      <c r="D137" s="24">
        <f>F137</f>
        <v>8.86014</v>
      </c>
      <c r="E137" s="24">
        <f>F137</f>
        <v>8.86014</v>
      </c>
      <c r="F137" s="24">
        <f>ROUND(8.86014,5)</f>
        <v>8.86014</v>
      </c>
      <c r="G137" s="25"/>
      <c r="H137" s="26"/>
    </row>
    <row r="138" spans="1:8" ht="12.75" customHeight="1">
      <c r="A138" s="23">
        <v>42859</v>
      </c>
      <c r="B138" s="23"/>
      <c r="C138" s="24">
        <f>ROUND(8.78,5)</f>
        <v>8.78</v>
      </c>
      <c r="D138" s="24">
        <f>F138</f>
        <v>8.87994</v>
      </c>
      <c r="E138" s="24">
        <f>F138</f>
        <v>8.87994</v>
      </c>
      <c r="F138" s="24">
        <f>ROUND(8.87994,5)</f>
        <v>8.87994</v>
      </c>
      <c r="G138" s="25"/>
      <c r="H138" s="26"/>
    </row>
    <row r="139" spans="1:8" ht="12.75" customHeight="1">
      <c r="A139" s="23">
        <v>42950</v>
      </c>
      <c r="B139" s="23"/>
      <c r="C139" s="24">
        <f>ROUND(8.78,5)</f>
        <v>8.78</v>
      </c>
      <c r="D139" s="24">
        <f>F139</f>
        <v>8.88773</v>
      </c>
      <c r="E139" s="24">
        <f>F139</f>
        <v>8.88773</v>
      </c>
      <c r="F139" s="24">
        <f>ROUND(8.88773,5)</f>
        <v>8.88773</v>
      </c>
      <c r="G139" s="25"/>
      <c r="H139" s="26"/>
    </row>
    <row r="140" spans="1:8" ht="12.75" customHeight="1">
      <c r="A140" s="23" t="s">
        <v>47</v>
      </c>
      <c r="B140" s="23"/>
      <c r="C140" s="27"/>
      <c r="D140" s="27"/>
      <c r="E140" s="27"/>
      <c r="F140" s="27"/>
      <c r="G140" s="25"/>
      <c r="H140" s="26"/>
    </row>
    <row r="141" spans="1:8" ht="12.75" customHeight="1">
      <c r="A141" s="23">
        <v>42586</v>
      </c>
      <c r="B141" s="23"/>
      <c r="C141" s="24">
        <f>ROUND(1.76,5)</f>
        <v>1.76</v>
      </c>
      <c r="D141" s="24">
        <f>F141</f>
        <v>299.03483</v>
      </c>
      <c r="E141" s="24">
        <f>F141</f>
        <v>299.03483</v>
      </c>
      <c r="F141" s="24">
        <f>ROUND(299.03483,5)</f>
        <v>299.03483</v>
      </c>
      <c r="G141" s="25"/>
      <c r="H141" s="26"/>
    </row>
    <row r="142" spans="1:8" ht="12.75" customHeight="1">
      <c r="A142" s="23">
        <v>42677</v>
      </c>
      <c r="B142" s="23"/>
      <c r="C142" s="24">
        <f>ROUND(1.76,5)</f>
        <v>1.76</v>
      </c>
      <c r="D142" s="24">
        <f>F142</f>
        <v>304.69255</v>
      </c>
      <c r="E142" s="24">
        <f>F142</f>
        <v>304.69255</v>
      </c>
      <c r="F142" s="24">
        <f>ROUND(304.69255,5)</f>
        <v>304.69255</v>
      </c>
      <c r="G142" s="25"/>
      <c r="H142" s="26"/>
    </row>
    <row r="143" spans="1:8" ht="12.75" customHeight="1">
      <c r="A143" s="23">
        <v>42768</v>
      </c>
      <c r="B143" s="23"/>
      <c r="C143" s="24">
        <f>ROUND(1.76,5)</f>
        <v>1.76</v>
      </c>
      <c r="D143" s="24">
        <f>F143</f>
        <v>303.98881</v>
      </c>
      <c r="E143" s="24">
        <f>F143</f>
        <v>303.98881</v>
      </c>
      <c r="F143" s="24">
        <f>ROUND(303.98881,5)</f>
        <v>303.98881</v>
      </c>
      <c r="G143" s="25"/>
      <c r="H143" s="26"/>
    </row>
    <row r="144" spans="1:8" ht="12.75" customHeight="1">
      <c r="A144" s="23">
        <v>42859</v>
      </c>
      <c r="B144" s="23"/>
      <c r="C144" s="24">
        <f>ROUND(1.76,5)</f>
        <v>1.76</v>
      </c>
      <c r="D144" s="24">
        <f>F144</f>
        <v>310.29688</v>
      </c>
      <c r="E144" s="24">
        <f>F144</f>
        <v>310.29688</v>
      </c>
      <c r="F144" s="24">
        <f>ROUND(310.29688,5)</f>
        <v>310.29688</v>
      </c>
      <c r="G144" s="25"/>
      <c r="H144" s="26"/>
    </row>
    <row r="145" spans="1:8" ht="12.75" customHeight="1">
      <c r="A145" s="23">
        <v>42950</v>
      </c>
      <c r="B145" s="23"/>
      <c r="C145" s="24">
        <f>ROUND(1.76,5)</f>
        <v>1.76</v>
      </c>
      <c r="D145" s="24">
        <f>F145</f>
        <v>316.84318</v>
      </c>
      <c r="E145" s="24">
        <f>F145</f>
        <v>316.84318</v>
      </c>
      <c r="F145" s="24">
        <f>ROUND(316.84318,5)</f>
        <v>316.84318</v>
      </c>
      <c r="G145" s="25"/>
      <c r="H145" s="26"/>
    </row>
    <row r="146" spans="1:8" ht="12.75" customHeight="1">
      <c r="A146" s="23" t="s">
        <v>48</v>
      </c>
      <c r="B146" s="23"/>
      <c r="C146" s="27"/>
      <c r="D146" s="27"/>
      <c r="E146" s="27"/>
      <c r="F146" s="27"/>
      <c r="G146" s="25"/>
      <c r="H146" s="26"/>
    </row>
    <row r="147" spans="1:8" ht="12.75" customHeight="1">
      <c r="A147" s="23">
        <v>42586</v>
      </c>
      <c r="B147" s="23"/>
      <c r="C147" s="24">
        <f>ROUND(1.83,5)</f>
        <v>1.83</v>
      </c>
      <c r="D147" s="24">
        <f>F147</f>
        <v>249.21126</v>
      </c>
      <c r="E147" s="24">
        <f>F147</f>
        <v>249.21126</v>
      </c>
      <c r="F147" s="24">
        <f>ROUND(249.21126,5)</f>
        <v>249.21126</v>
      </c>
      <c r="G147" s="25"/>
      <c r="H147" s="26"/>
    </row>
    <row r="148" spans="1:8" ht="12.75" customHeight="1">
      <c r="A148" s="23">
        <v>42677</v>
      </c>
      <c r="B148" s="23"/>
      <c r="C148" s="24">
        <f>ROUND(1.83,5)</f>
        <v>1.83</v>
      </c>
      <c r="D148" s="24">
        <f>F148</f>
        <v>253.92643</v>
      </c>
      <c r="E148" s="24">
        <f>F148</f>
        <v>253.92643</v>
      </c>
      <c r="F148" s="24">
        <f>ROUND(253.92643,5)</f>
        <v>253.92643</v>
      </c>
      <c r="G148" s="25"/>
      <c r="H148" s="26"/>
    </row>
    <row r="149" spans="1:8" ht="12.75" customHeight="1">
      <c r="A149" s="23">
        <v>42768</v>
      </c>
      <c r="B149" s="23"/>
      <c r="C149" s="24">
        <f>ROUND(1.83,5)</f>
        <v>1.83</v>
      </c>
      <c r="D149" s="24">
        <f>F149</f>
        <v>255.37237</v>
      </c>
      <c r="E149" s="24">
        <f>F149</f>
        <v>255.37237</v>
      </c>
      <c r="F149" s="24">
        <f>ROUND(255.37237,5)</f>
        <v>255.37237</v>
      </c>
      <c r="G149" s="25"/>
      <c r="H149" s="26"/>
    </row>
    <row r="150" spans="1:8" ht="12.75" customHeight="1">
      <c r="A150" s="23">
        <v>42859</v>
      </c>
      <c r="B150" s="23"/>
      <c r="C150" s="24">
        <f>ROUND(1.83,5)</f>
        <v>1.83</v>
      </c>
      <c r="D150" s="24">
        <f>F150</f>
        <v>260.67113</v>
      </c>
      <c r="E150" s="24">
        <f>F150</f>
        <v>260.67113</v>
      </c>
      <c r="F150" s="24">
        <f>ROUND(260.67113,5)</f>
        <v>260.67113</v>
      </c>
      <c r="G150" s="25"/>
      <c r="H150" s="26"/>
    </row>
    <row r="151" spans="1:8" ht="12.75" customHeight="1">
      <c r="A151" s="23">
        <v>42950</v>
      </c>
      <c r="B151" s="23"/>
      <c r="C151" s="24">
        <f>ROUND(1.83,5)</f>
        <v>1.83</v>
      </c>
      <c r="D151" s="24">
        <f>F151</f>
        <v>266.17017</v>
      </c>
      <c r="E151" s="24">
        <f>F151</f>
        <v>266.17017</v>
      </c>
      <c r="F151" s="24">
        <f>ROUND(266.17017,5)</f>
        <v>266.17017</v>
      </c>
      <c r="G151" s="25"/>
      <c r="H151" s="26"/>
    </row>
    <row r="152" spans="1:8" ht="12.75" customHeight="1">
      <c r="A152" s="23" t="s">
        <v>49</v>
      </c>
      <c r="B152" s="23"/>
      <c r="C152" s="27"/>
      <c r="D152" s="27"/>
      <c r="E152" s="27"/>
      <c r="F152" s="27"/>
      <c r="G152" s="25"/>
      <c r="H152" s="26"/>
    </row>
    <row r="153" spans="1:8" ht="12.75" customHeight="1">
      <c r="A153" s="23">
        <v>42586</v>
      </c>
      <c r="B153" s="23"/>
      <c r="C153" s="24">
        <f>ROUND(7.65,5)</f>
        <v>7.65</v>
      </c>
      <c r="D153" s="24">
        <f>F153</f>
        <v>7.65389</v>
      </c>
      <c r="E153" s="24">
        <f>F153</f>
        <v>7.65389</v>
      </c>
      <c r="F153" s="24">
        <f>ROUND(7.65389,5)</f>
        <v>7.65389</v>
      </c>
      <c r="G153" s="25"/>
      <c r="H153" s="26"/>
    </row>
    <row r="154" spans="1:8" ht="12.75" customHeight="1">
      <c r="A154" s="23">
        <v>42677</v>
      </c>
      <c r="B154" s="23"/>
      <c r="C154" s="24">
        <f>ROUND(7.65,5)</f>
        <v>7.65</v>
      </c>
      <c r="D154" s="24">
        <f>F154</f>
        <v>7.63699</v>
      </c>
      <c r="E154" s="24">
        <f>F154</f>
        <v>7.63699</v>
      </c>
      <c r="F154" s="24">
        <f>ROUND(7.63699,5)</f>
        <v>7.63699</v>
      </c>
      <c r="G154" s="25"/>
      <c r="H154" s="26"/>
    </row>
    <row r="155" spans="1:8" ht="12.75" customHeight="1">
      <c r="A155" s="23">
        <v>42768</v>
      </c>
      <c r="B155" s="23"/>
      <c r="C155" s="24">
        <f>ROUND(7.65,5)</f>
        <v>7.65</v>
      </c>
      <c r="D155" s="24">
        <f>F155</f>
        <v>7.51628</v>
      </c>
      <c r="E155" s="24">
        <f>F155</f>
        <v>7.51628</v>
      </c>
      <c r="F155" s="24">
        <f>ROUND(7.51628,5)</f>
        <v>7.51628</v>
      </c>
      <c r="G155" s="25"/>
      <c r="H155" s="26"/>
    </row>
    <row r="156" spans="1:8" ht="12.75" customHeight="1">
      <c r="A156" s="23">
        <v>42859</v>
      </c>
      <c r="B156" s="23"/>
      <c r="C156" s="24">
        <f>ROUND(7.65,5)</f>
        <v>7.65</v>
      </c>
      <c r="D156" s="24">
        <f>F156</f>
        <v>6.78815</v>
      </c>
      <c r="E156" s="24">
        <f>F156</f>
        <v>6.78815</v>
      </c>
      <c r="F156" s="24">
        <f>ROUND(6.78815,5)</f>
        <v>6.78815</v>
      </c>
      <c r="G156" s="25"/>
      <c r="H156" s="26"/>
    </row>
    <row r="157" spans="1:8" ht="12.75" customHeight="1">
      <c r="A157" s="23">
        <v>42950</v>
      </c>
      <c r="B157" s="23"/>
      <c r="C157" s="24">
        <f>ROUND(7.65,5)</f>
        <v>7.65</v>
      </c>
      <c r="D157" s="24">
        <f>F157</f>
        <v>2.41199</v>
      </c>
      <c r="E157" s="24">
        <f>F157</f>
        <v>2.41199</v>
      </c>
      <c r="F157" s="24">
        <v>2.41199</v>
      </c>
      <c r="G157" s="25"/>
      <c r="H157" s="26"/>
    </row>
    <row r="158" spans="1:8" ht="12.75" customHeight="1">
      <c r="A158" s="23" t="s">
        <v>50</v>
      </c>
      <c r="B158" s="23"/>
      <c r="C158" s="27"/>
      <c r="D158" s="27"/>
      <c r="E158" s="27"/>
      <c r="F158" s="27"/>
      <c r="G158" s="25"/>
      <c r="H158" s="26"/>
    </row>
    <row r="159" spans="1:8" ht="12.75" customHeight="1">
      <c r="A159" s="23">
        <v>42586</v>
      </c>
      <c r="B159" s="23"/>
      <c r="C159" s="24">
        <f>ROUND(7.89,5)</f>
        <v>7.89</v>
      </c>
      <c r="D159" s="24">
        <f>F159</f>
        <v>7.89646</v>
      </c>
      <c r="E159" s="24">
        <f>F159</f>
        <v>7.89646</v>
      </c>
      <c r="F159" s="24">
        <f>ROUND(7.89646,5)</f>
        <v>7.89646</v>
      </c>
      <c r="G159" s="25"/>
      <c r="H159" s="26"/>
    </row>
    <row r="160" spans="1:8" ht="12.75" customHeight="1">
      <c r="A160" s="23">
        <v>42677</v>
      </c>
      <c r="B160" s="23"/>
      <c r="C160" s="24">
        <f>ROUND(7.89,5)</f>
        <v>7.89</v>
      </c>
      <c r="D160" s="24">
        <f>F160</f>
        <v>7.9159</v>
      </c>
      <c r="E160" s="24">
        <f>F160</f>
        <v>7.9159</v>
      </c>
      <c r="F160" s="24">
        <f>ROUND(7.9159,5)</f>
        <v>7.9159</v>
      </c>
      <c r="G160" s="25"/>
      <c r="H160" s="26"/>
    </row>
    <row r="161" spans="1:8" ht="12.75" customHeight="1">
      <c r="A161" s="23">
        <v>42768</v>
      </c>
      <c r="B161" s="23"/>
      <c r="C161" s="24">
        <f>ROUND(7.89,5)</f>
        <v>7.89</v>
      </c>
      <c r="D161" s="24">
        <f>F161</f>
        <v>7.90648</v>
      </c>
      <c r="E161" s="24">
        <f>F161</f>
        <v>7.90648</v>
      </c>
      <c r="F161" s="24">
        <f>ROUND(7.90648,5)</f>
        <v>7.90648</v>
      </c>
      <c r="G161" s="25"/>
      <c r="H161" s="26"/>
    </row>
    <row r="162" spans="1:8" ht="12.75" customHeight="1">
      <c r="A162" s="23">
        <v>42859</v>
      </c>
      <c r="B162" s="23"/>
      <c r="C162" s="24">
        <f>ROUND(7.89,5)</f>
        <v>7.89</v>
      </c>
      <c r="D162" s="24">
        <f>F162</f>
        <v>7.83022</v>
      </c>
      <c r="E162" s="24">
        <f>F162</f>
        <v>7.83022</v>
      </c>
      <c r="F162" s="24">
        <f>ROUND(7.83022,5)</f>
        <v>7.83022</v>
      </c>
      <c r="G162" s="25"/>
      <c r="H162" s="26"/>
    </row>
    <row r="163" spans="1:8" ht="12.75" customHeight="1">
      <c r="A163" s="23">
        <v>42950</v>
      </c>
      <c r="B163" s="23"/>
      <c r="C163" s="24">
        <f>ROUND(7.89,5)</f>
        <v>7.89</v>
      </c>
      <c r="D163" s="24">
        <f>F163</f>
        <v>7.66481</v>
      </c>
      <c r="E163" s="24">
        <f>F163</f>
        <v>7.66481</v>
      </c>
      <c r="F163" s="24">
        <f>ROUND(7.66481,5)</f>
        <v>7.66481</v>
      </c>
      <c r="G163" s="25"/>
      <c r="H163" s="26"/>
    </row>
    <row r="164" spans="1:8" ht="12.75" customHeight="1">
      <c r="A164" s="23" t="s">
        <v>51</v>
      </c>
      <c r="B164" s="23"/>
      <c r="C164" s="27"/>
      <c r="D164" s="27"/>
      <c r="E164" s="27"/>
      <c r="F164" s="27"/>
      <c r="G164" s="25"/>
      <c r="H164" s="26"/>
    </row>
    <row r="165" spans="1:8" ht="12.75" customHeight="1">
      <c r="A165" s="23">
        <v>42586</v>
      </c>
      <c r="B165" s="23"/>
      <c r="C165" s="24">
        <f>ROUND(8.11,5)</f>
        <v>8.11</v>
      </c>
      <c r="D165" s="24">
        <f>F165</f>
        <v>8.1166</v>
      </c>
      <c r="E165" s="24">
        <f>F165</f>
        <v>8.1166</v>
      </c>
      <c r="F165" s="24">
        <f>ROUND(8.1166,5)</f>
        <v>8.1166</v>
      </c>
      <c r="G165" s="25"/>
      <c r="H165" s="26"/>
    </row>
    <row r="166" spans="1:8" ht="12.75" customHeight="1">
      <c r="A166" s="23">
        <v>42677</v>
      </c>
      <c r="B166" s="23"/>
      <c r="C166" s="24">
        <f>ROUND(8.11,5)</f>
        <v>8.11</v>
      </c>
      <c r="D166" s="24">
        <f>F166</f>
        <v>8.14509</v>
      </c>
      <c r="E166" s="24">
        <f>F166</f>
        <v>8.14509</v>
      </c>
      <c r="F166" s="24">
        <f>ROUND(8.14509,5)</f>
        <v>8.14509</v>
      </c>
      <c r="G166" s="25"/>
      <c r="H166" s="26"/>
    </row>
    <row r="167" spans="1:8" ht="12.75" customHeight="1">
      <c r="A167" s="23">
        <v>42768</v>
      </c>
      <c r="B167" s="23"/>
      <c r="C167" s="24">
        <f>ROUND(8.11,5)</f>
        <v>8.11</v>
      </c>
      <c r="D167" s="24">
        <f>F167</f>
        <v>8.15748</v>
      </c>
      <c r="E167" s="24">
        <f>F167</f>
        <v>8.15748</v>
      </c>
      <c r="F167" s="24">
        <f>ROUND(8.15748,5)</f>
        <v>8.15748</v>
      </c>
      <c r="G167" s="25"/>
      <c r="H167" s="26"/>
    </row>
    <row r="168" spans="1:8" ht="12.75" customHeight="1">
      <c r="A168" s="23">
        <v>42859</v>
      </c>
      <c r="B168" s="23"/>
      <c r="C168" s="24">
        <f>ROUND(8.11,5)</f>
        <v>8.11</v>
      </c>
      <c r="D168" s="24">
        <f>F168</f>
        <v>8.14068</v>
      </c>
      <c r="E168" s="24">
        <f>F168</f>
        <v>8.14068</v>
      </c>
      <c r="F168" s="24">
        <f>ROUND(8.14068,5)</f>
        <v>8.14068</v>
      </c>
      <c r="G168" s="25"/>
      <c r="H168" s="26"/>
    </row>
    <row r="169" spans="1:8" ht="12.75" customHeight="1">
      <c r="A169" s="23">
        <v>42950</v>
      </c>
      <c r="B169" s="23"/>
      <c r="C169" s="24">
        <f>ROUND(8.11,5)</f>
        <v>8.11</v>
      </c>
      <c r="D169" s="24">
        <f>F169</f>
        <v>8.08314</v>
      </c>
      <c r="E169" s="24">
        <f>F169</f>
        <v>8.08314</v>
      </c>
      <c r="F169" s="24">
        <f>ROUND(8.08314,5)</f>
        <v>8.08314</v>
      </c>
      <c r="G169" s="25"/>
      <c r="H169" s="26"/>
    </row>
    <row r="170" spans="1:8" ht="12.75" customHeight="1">
      <c r="A170" s="23" t="s">
        <v>52</v>
      </c>
      <c r="B170" s="23"/>
      <c r="C170" s="27"/>
      <c r="D170" s="27"/>
      <c r="E170" s="27"/>
      <c r="F170" s="27"/>
      <c r="G170" s="25"/>
      <c r="H170" s="26"/>
    </row>
    <row r="171" spans="1:8" ht="12.75" customHeight="1">
      <c r="A171" s="23">
        <v>42586</v>
      </c>
      <c r="B171" s="23"/>
      <c r="C171" s="24">
        <f>ROUND(8.265,5)</f>
        <v>8.265</v>
      </c>
      <c r="D171" s="24">
        <f>F171</f>
        <v>8.27196</v>
      </c>
      <c r="E171" s="24">
        <f>F171</f>
        <v>8.27196</v>
      </c>
      <c r="F171" s="24">
        <f>ROUND(8.27196,5)</f>
        <v>8.27196</v>
      </c>
      <c r="G171" s="25"/>
      <c r="H171" s="26"/>
    </row>
    <row r="172" spans="1:8" ht="12.75" customHeight="1">
      <c r="A172" s="23">
        <v>42677</v>
      </c>
      <c r="B172" s="23"/>
      <c r="C172" s="24">
        <f>ROUND(8.265,5)</f>
        <v>8.265</v>
      </c>
      <c r="D172" s="24">
        <f>F172</f>
        <v>8.30794</v>
      </c>
      <c r="E172" s="24">
        <f>F172</f>
        <v>8.30794</v>
      </c>
      <c r="F172" s="24">
        <f>ROUND(8.30794,5)</f>
        <v>8.30794</v>
      </c>
      <c r="G172" s="25"/>
      <c r="H172" s="26"/>
    </row>
    <row r="173" spans="1:8" ht="12.75" customHeight="1">
      <c r="A173" s="23">
        <v>42768</v>
      </c>
      <c r="B173" s="23"/>
      <c r="C173" s="24">
        <f>ROUND(8.265,5)</f>
        <v>8.265</v>
      </c>
      <c r="D173" s="24">
        <f>F173</f>
        <v>8.33224</v>
      </c>
      <c r="E173" s="24">
        <f>F173</f>
        <v>8.33224</v>
      </c>
      <c r="F173" s="24">
        <f>ROUND(8.33224,5)</f>
        <v>8.33224</v>
      </c>
      <c r="G173" s="25"/>
      <c r="H173" s="26"/>
    </row>
    <row r="174" spans="1:8" ht="12.75" customHeight="1">
      <c r="A174" s="23">
        <v>42859</v>
      </c>
      <c r="B174" s="23"/>
      <c r="C174" s="24">
        <f>ROUND(8.265,5)</f>
        <v>8.265</v>
      </c>
      <c r="D174" s="24">
        <f>F174</f>
        <v>8.32838</v>
      </c>
      <c r="E174" s="24">
        <f>F174</f>
        <v>8.32838</v>
      </c>
      <c r="F174" s="24">
        <f>ROUND(8.32838,5)</f>
        <v>8.32838</v>
      </c>
      <c r="G174" s="25"/>
      <c r="H174" s="26"/>
    </row>
    <row r="175" spans="1:8" ht="12.75" customHeight="1">
      <c r="A175" s="23">
        <v>42950</v>
      </c>
      <c r="B175" s="23"/>
      <c r="C175" s="24">
        <f>ROUND(8.265,5)</f>
        <v>8.265</v>
      </c>
      <c r="D175" s="24">
        <f>F175</f>
        <v>8.29873</v>
      </c>
      <c r="E175" s="24">
        <f>F175</f>
        <v>8.29873</v>
      </c>
      <c r="F175" s="24">
        <f>ROUND(8.29873,5)</f>
        <v>8.29873</v>
      </c>
      <c r="G175" s="25"/>
      <c r="H175" s="26"/>
    </row>
    <row r="176" spans="1:8" ht="12.75" customHeight="1">
      <c r="A176" s="23" t="s">
        <v>53</v>
      </c>
      <c r="B176" s="23"/>
      <c r="C176" s="27"/>
      <c r="D176" s="27"/>
      <c r="E176" s="27"/>
      <c r="F176" s="27"/>
      <c r="G176" s="25"/>
      <c r="H176" s="26"/>
    </row>
    <row r="177" spans="1:8" ht="12.75" customHeight="1">
      <c r="A177" s="23">
        <v>42586</v>
      </c>
      <c r="B177" s="23"/>
      <c r="C177" s="24">
        <f>ROUND(9.34,5)</f>
        <v>9.34</v>
      </c>
      <c r="D177" s="24">
        <f>F177</f>
        <v>9.34671</v>
      </c>
      <c r="E177" s="24">
        <f>F177</f>
        <v>9.34671</v>
      </c>
      <c r="F177" s="24">
        <f>ROUND(9.34671,5)</f>
        <v>9.34671</v>
      </c>
      <c r="G177" s="25"/>
      <c r="H177" s="26"/>
    </row>
    <row r="178" spans="1:8" ht="12.75" customHeight="1">
      <c r="A178" s="23">
        <v>42677</v>
      </c>
      <c r="B178" s="23"/>
      <c r="C178" s="24">
        <f>ROUND(9.34,5)</f>
        <v>9.34</v>
      </c>
      <c r="D178" s="24">
        <f>F178</f>
        <v>9.38789</v>
      </c>
      <c r="E178" s="24">
        <f>F178</f>
        <v>9.38789</v>
      </c>
      <c r="F178" s="24">
        <f>ROUND(9.38789,5)</f>
        <v>9.38789</v>
      </c>
      <c r="G178" s="25"/>
      <c r="H178" s="26"/>
    </row>
    <row r="179" spans="1:8" ht="12.75" customHeight="1">
      <c r="A179" s="23">
        <v>42768</v>
      </c>
      <c r="B179" s="23"/>
      <c r="C179" s="24">
        <f>ROUND(9.34,5)</f>
        <v>9.34</v>
      </c>
      <c r="D179" s="24">
        <f>F179</f>
        <v>9.42476</v>
      </c>
      <c r="E179" s="24">
        <f>F179</f>
        <v>9.42476</v>
      </c>
      <c r="F179" s="24">
        <f>ROUND(9.42476,5)</f>
        <v>9.42476</v>
      </c>
      <c r="G179" s="25"/>
      <c r="H179" s="26"/>
    </row>
    <row r="180" spans="1:8" ht="12.75" customHeight="1">
      <c r="A180" s="23">
        <v>42859</v>
      </c>
      <c r="B180" s="23"/>
      <c r="C180" s="24">
        <f>ROUND(9.34,5)</f>
        <v>9.34</v>
      </c>
      <c r="D180" s="24">
        <f>F180</f>
        <v>9.45175</v>
      </c>
      <c r="E180" s="24">
        <f>F180</f>
        <v>9.45175</v>
      </c>
      <c r="F180" s="24">
        <f>ROUND(9.45175,5)</f>
        <v>9.45175</v>
      </c>
      <c r="G180" s="25"/>
      <c r="H180" s="26"/>
    </row>
    <row r="181" spans="1:8" ht="12.75" customHeight="1">
      <c r="A181" s="23">
        <v>42950</v>
      </c>
      <c r="B181" s="23"/>
      <c r="C181" s="24">
        <f>ROUND(9.34,5)</f>
        <v>9.34</v>
      </c>
      <c r="D181" s="24">
        <f>F181</f>
        <v>9.47092</v>
      </c>
      <c r="E181" s="24">
        <f>F181</f>
        <v>9.47092</v>
      </c>
      <c r="F181" s="24">
        <f>ROUND(9.47092,5)</f>
        <v>9.47092</v>
      </c>
      <c r="G181" s="25"/>
      <c r="H181" s="26"/>
    </row>
    <row r="182" spans="1:8" ht="12.75" customHeight="1">
      <c r="A182" s="23" t="s">
        <v>54</v>
      </c>
      <c r="B182" s="23"/>
      <c r="C182" s="27"/>
      <c r="D182" s="27"/>
      <c r="E182" s="27"/>
      <c r="F182" s="27"/>
      <c r="G182" s="25"/>
      <c r="H182" s="26"/>
    </row>
    <row r="183" spans="1:8" ht="12.75" customHeight="1">
      <c r="A183" s="23">
        <v>42586</v>
      </c>
      <c r="B183" s="23"/>
      <c r="C183" s="24">
        <f>ROUND(1.83,5)</f>
        <v>1.83</v>
      </c>
      <c r="D183" s="24">
        <f>F183</f>
        <v>187.61774</v>
      </c>
      <c r="E183" s="24">
        <f>F183</f>
        <v>187.61774</v>
      </c>
      <c r="F183" s="24">
        <f>ROUND(187.61774,5)</f>
        <v>187.61774</v>
      </c>
      <c r="G183" s="25"/>
      <c r="H183" s="26"/>
    </row>
    <row r="184" spans="1:8" ht="12.75" customHeight="1">
      <c r="A184" s="23">
        <v>42677</v>
      </c>
      <c r="B184" s="23"/>
      <c r="C184" s="24">
        <f>ROUND(1.83,5)</f>
        <v>1.83</v>
      </c>
      <c r="D184" s="24">
        <f>F184</f>
        <v>188.89055</v>
      </c>
      <c r="E184" s="24">
        <f>F184</f>
        <v>188.89055</v>
      </c>
      <c r="F184" s="24">
        <f>ROUND(188.89055,5)</f>
        <v>188.89055</v>
      </c>
      <c r="G184" s="25"/>
      <c r="H184" s="26"/>
    </row>
    <row r="185" spans="1:8" ht="12.75" customHeight="1">
      <c r="A185" s="23">
        <v>42768</v>
      </c>
      <c r="B185" s="23"/>
      <c r="C185" s="24">
        <f>ROUND(1.83,5)</f>
        <v>1.83</v>
      </c>
      <c r="D185" s="24">
        <f>F185</f>
        <v>192.62382</v>
      </c>
      <c r="E185" s="24">
        <f>F185</f>
        <v>192.62382</v>
      </c>
      <c r="F185" s="24">
        <f>ROUND(192.62382,5)</f>
        <v>192.62382</v>
      </c>
      <c r="G185" s="25"/>
      <c r="H185" s="26"/>
    </row>
    <row r="186" spans="1:8" ht="12.75" customHeight="1">
      <c r="A186" s="23">
        <v>42859</v>
      </c>
      <c r="B186" s="23"/>
      <c r="C186" s="24">
        <f>ROUND(1.83,5)</f>
        <v>1.83</v>
      </c>
      <c r="D186" s="24">
        <f>F186</f>
        <v>194.29981</v>
      </c>
      <c r="E186" s="24">
        <f>F186</f>
        <v>194.29981</v>
      </c>
      <c r="F186" s="24">
        <f>ROUND(194.29981,5)</f>
        <v>194.29981</v>
      </c>
      <c r="G186" s="25"/>
      <c r="H186" s="26"/>
    </row>
    <row r="187" spans="1:8" ht="12.75" customHeight="1">
      <c r="A187" s="23">
        <v>42950</v>
      </c>
      <c r="B187" s="23"/>
      <c r="C187" s="24">
        <f>ROUND(1.83,5)</f>
        <v>1.83</v>
      </c>
      <c r="D187" s="24">
        <f>F187</f>
        <v>198.39911</v>
      </c>
      <c r="E187" s="24">
        <f>F187</f>
        <v>198.39911</v>
      </c>
      <c r="F187" s="24">
        <f>ROUND(198.39911,5)</f>
        <v>198.39911</v>
      </c>
      <c r="G187" s="25"/>
      <c r="H187" s="26"/>
    </row>
    <row r="188" spans="1:8" ht="12.75" customHeight="1">
      <c r="A188" s="23" t="s">
        <v>55</v>
      </c>
      <c r="B188" s="23"/>
      <c r="C188" s="27"/>
      <c r="D188" s="27"/>
      <c r="E188" s="27"/>
      <c r="F188" s="27"/>
      <c r="G188" s="25"/>
      <c r="H188" s="26"/>
    </row>
    <row r="189" spans="1:8" ht="12.75" customHeight="1">
      <c r="A189" s="23">
        <v>42586</v>
      </c>
      <c r="B189" s="23"/>
      <c r="C189" s="24">
        <f>ROUND(1.55,5)</f>
        <v>1.55</v>
      </c>
      <c r="D189" s="24">
        <f>F189</f>
        <v>139.89941</v>
      </c>
      <c r="E189" s="24">
        <f>F189</f>
        <v>139.89941</v>
      </c>
      <c r="F189" s="24">
        <f>ROUND(139.89941,5)</f>
        <v>139.89941</v>
      </c>
      <c r="G189" s="25"/>
      <c r="H189" s="26"/>
    </row>
    <row r="190" spans="1:8" ht="12.75" customHeight="1">
      <c r="A190" s="23">
        <v>42677</v>
      </c>
      <c r="B190" s="23"/>
      <c r="C190" s="24">
        <f>ROUND(1.55,5)</f>
        <v>1.55</v>
      </c>
      <c r="D190" s="24">
        <f>F190</f>
        <v>142.54625</v>
      </c>
      <c r="E190" s="24">
        <f>F190</f>
        <v>142.54625</v>
      </c>
      <c r="F190" s="24">
        <f>ROUND(142.54625,5)</f>
        <v>142.54625</v>
      </c>
      <c r="G190" s="25"/>
      <c r="H190" s="26"/>
    </row>
    <row r="191" spans="1:8" ht="12.75" customHeight="1">
      <c r="A191" s="23">
        <v>42768</v>
      </c>
      <c r="B191" s="23"/>
      <c r="C191" s="24">
        <f>ROUND(1.55,5)</f>
        <v>1.55</v>
      </c>
      <c r="D191" s="24">
        <f>F191</f>
        <v>141.66256</v>
      </c>
      <c r="E191" s="24">
        <f>F191</f>
        <v>141.66256</v>
      </c>
      <c r="F191" s="24">
        <f>ROUND(141.66256,5)</f>
        <v>141.66256</v>
      </c>
      <c r="G191" s="25"/>
      <c r="H191" s="26"/>
    </row>
    <row r="192" spans="1:8" ht="12.75" customHeight="1">
      <c r="A192" s="23">
        <v>42859</v>
      </c>
      <c r="B192" s="23"/>
      <c r="C192" s="24">
        <f>ROUND(1.55,5)</f>
        <v>1.55</v>
      </c>
      <c r="D192" s="24">
        <f>F192</f>
        <v>141.66256</v>
      </c>
      <c r="E192" s="24">
        <f>F192</f>
        <v>141.66256</v>
      </c>
      <c r="F192" s="24">
        <f>ROUND(141.66256,5)</f>
        <v>141.66256</v>
      </c>
      <c r="G192" s="25"/>
      <c r="H192" s="26"/>
    </row>
    <row r="193" spans="1:8" ht="12.75" customHeight="1">
      <c r="A193" s="23">
        <v>42950</v>
      </c>
      <c r="B193" s="23"/>
      <c r="C193" s="24">
        <f>ROUND(1.55,5)</f>
        <v>1.55</v>
      </c>
      <c r="D193" s="24">
        <f>F193</f>
        <v>141.66256</v>
      </c>
      <c r="E193" s="24">
        <f>F193</f>
        <v>141.66256</v>
      </c>
      <c r="F193" s="24">
        <f>ROUND(141.66256,5)</f>
        <v>141.66256</v>
      </c>
      <c r="G193" s="25"/>
      <c r="H193" s="26"/>
    </row>
    <row r="194" spans="1:8" ht="12.75" customHeight="1">
      <c r="A194" s="23" t="s">
        <v>56</v>
      </c>
      <c r="B194" s="23"/>
      <c r="C194" s="27"/>
      <c r="D194" s="27"/>
      <c r="E194" s="27"/>
      <c r="F194" s="27"/>
      <c r="G194" s="25"/>
      <c r="H194" s="26"/>
    </row>
    <row r="195" spans="1:8" ht="12.75" customHeight="1">
      <c r="A195" s="23">
        <v>42586</v>
      </c>
      <c r="B195" s="23"/>
      <c r="C195" s="24">
        <f>ROUND(1.73,5)</f>
        <v>1.73</v>
      </c>
      <c r="D195" s="24">
        <f>F195</f>
        <v>146.34375</v>
      </c>
      <c r="E195" s="24">
        <f>F195</f>
        <v>146.34375</v>
      </c>
      <c r="F195" s="24">
        <f>ROUND(146.34375,5)</f>
        <v>146.34375</v>
      </c>
      <c r="G195" s="25"/>
      <c r="H195" s="26"/>
    </row>
    <row r="196" spans="1:8" ht="12.75" customHeight="1">
      <c r="A196" s="23">
        <v>42677</v>
      </c>
      <c r="B196" s="23"/>
      <c r="C196" s="24">
        <f>ROUND(1.73,5)</f>
        <v>1.73</v>
      </c>
      <c r="D196" s="24">
        <f>F196</f>
        <v>149.11256</v>
      </c>
      <c r="E196" s="24">
        <f>F196</f>
        <v>149.11256</v>
      </c>
      <c r="F196" s="24">
        <f>ROUND(149.11256,5)</f>
        <v>149.11256</v>
      </c>
      <c r="G196" s="25"/>
      <c r="H196" s="26"/>
    </row>
    <row r="197" spans="1:8" ht="12.75" customHeight="1">
      <c r="A197" s="23">
        <v>42768</v>
      </c>
      <c r="B197" s="23"/>
      <c r="C197" s="24">
        <f>ROUND(1.73,5)</f>
        <v>1.73</v>
      </c>
      <c r="D197" s="24">
        <f>F197</f>
        <v>150.09985</v>
      </c>
      <c r="E197" s="24">
        <f>F197</f>
        <v>150.09985</v>
      </c>
      <c r="F197" s="24">
        <f>ROUND(150.09985,5)</f>
        <v>150.09985</v>
      </c>
      <c r="G197" s="25"/>
      <c r="H197" s="26"/>
    </row>
    <row r="198" spans="1:8" ht="12.75" customHeight="1">
      <c r="A198" s="23">
        <v>42859</v>
      </c>
      <c r="B198" s="23"/>
      <c r="C198" s="24">
        <f>ROUND(1.73,5)</f>
        <v>1.73</v>
      </c>
      <c r="D198" s="24">
        <f>F198</f>
        <v>153.21442</v>
      </c>
      <c r="E198" s="24">
        <f>F198</f>
        <v>153.21442</v>
      </c>
      <c r="F198" s="24">
        <f>ROUND(153.21442,5)</f>
        <v>153.21442</v>
      </c>
      <c r="G198" s="25"/>
      <c r="H198" s="26"/>
    </row>
    <row r="199" spans="1:8" ht="12.75" customHeight="1">
      <c r="A199" s="23">
        <v>42950</v>
      </c>
      <c r="B199" s="23"/>
      <c r="C199" s="24">
        <f>ROUND(1.73,5)</f>
        <v>1.73</v>
      </c>
      <c r="D199" s="24">
        <f>F199</f>
        <v>156.44669</v>
      </c>
      <c r="E199" s="24">
        <f>F199</f>
        <v>156.44669</v>
      </c>
      <c r="F199" s="24">
        <f>ROUND(156.44669,5)</f>
        <v>156.44669</v>
      </c>
      <c r="G199" s="25"/>
      <c r="H199" s="26"/>
    </row>
    <row r="200" spans="1:8" ht="12.75" customHeight="1">
      <c r="A200" s="23" t="s">
        <v>57</v>
      </c>
      <c r="B200" s="23"/>
      <c r="C200" s="27"/>
      <c r="D200" s="27"/>
      <c r="E200" s="27"/>
      <c r="F200" s="27"/>
      <c r="G200" s="25"/>
      <c r="H200" s="26"/>
    </row>
    <row r="201" spans="1:8" ht="12.75" customHeight="1">
      <c r="A201" s="23">
        <v>42586</v>
      </c>
      <c r="B201" s="23"/>
      <c r="C201" s="24">
        <f>ROUND(9.215,5)</f>
        <v>9.215</v>
      </c>
      <c r="D201" s="24">
        <f>F201</f>
        <v>9.22182</v>
      </c>
      <c r="E201" s="24">
        <f>F201</f>
        <v>9.22182</v>
      </c>
      <c r="F201" s="24">
        <f>ROUND(9.22182,5)</f>
        <v>9.22182</v>
      </c>
      <c r="G201" s="25"/>
      <c r="H201" s="26"/>
    </row>
    <row r="202" spans="1:8" ht="12.75" customHeight="1">
      <c r="A202" s="23">
        <v>42677</v>
      </c>
      <c r="B202" s="23"/>
      <c r="C202" s="24">
        <f>ROUND(9.215,5)</f>
        <v>9.215</v>
      </c>
      <c r="D202" s="24">
        <f>F202</f>
        <v>9.26638</v>
      </c>
      <c r="E202" s="24">
        <f>F202</f>
        <v>9.26638</v>
      </c>
      <c r="F202" s="24">
        <f>ROUND(9.26638,5)</f>
        <v>9.26638</v>
      </c>
      <c r="G202" s="25"/>
      <c r="H202" s="26"/>
    </row>
    <row r="203" spans="1:8" ht="12.75" customHeight="1">
      <c r="A203" s="23">
        <v>42768</v>
      </c>
      <c r="B203" s="23"/>
      <c r="C203" s="24">
        <f>ROUND(9.215,5)</f>
        <v>9.215</v>
      </c>
      <c r="D203" s="24">
        <f>F203</f>
        <v>9.3074</v>
      </c>
      <c r="E203" s="24">
        <f>F203</f>
        <v>9.3074</v>
      </c>
      <c r="F203" s="24">
        <f>ROUND(9.3074,5)</f>
        <v>9.3074</v>
      </c>
      <c r="G203" s="25"/>
      <c r="H203" s="26"/>
    </row>
    <row r="204" spans="1:8" ht="12.75" customHeight="1">
      <c r="A204" s="23">
        <v>42859</v>
      </c>
      <c r="B204" s="23"/>
      <c r="C204" s="24">
        <f>ROUND(9.215,5)</f>
        <v>9.215</v>
      </c>
      <c r="D204" s="24">
        <f>F204</f>
        <v>9.3337</v>
      </c>
      <c r="E204" s="24">
        <f>F204</f>
        <v>9.3337</v>
      </c>
      <c r="F204" s="24">
        <f>ROUND(9.3337,5)</f>
        <v>9.3337</v>
      </c>
      <c r="G204" s="25"/>
      <c r="H204" s="26"/>
    </row>
    <row r="205" spans="1:8" ht="12.75" customHeight="1">
      <c r="A205" s="23">
        <v>42950</v>
      </c>
      <c r="B205" s="23"/>
      <c r="C205" s="24">
        <f>ROUND(9.215,5)</f>
        <v>9.215</v>
      </c>
      <c r="D205" s="24">
        <f>F205</f>
        <v>9.35117</v>
      </c>
      <c r="E205" s="24">
        <f>F205</f>
        <v>9.35117</v>
      </c>
      <c r="F205" s="24">
        <f>ROUND(9.35117,5)</f>
        <v>9.35117</v>
      </c>
      <c r="G205" s="25"/>
      <c r="H205" s="26"/>
    </row>
    <row r="206" spans="1:8" ht="12.75" customHeight="1">
      <c r="A206" s="23" t="s">
        <v>58</v>
      </c>
      <c r="B206" s="23"/>
      <c r="C206" s="27"/>
      <c r="D206" s="27"/>
      <c r="E206" s="27"/>
      <c r="F206" s="27"/>
      <c r="G206" s="25"/>
      <c r="H206" s="26"/>
    </row>
    <row r="207" spans="1:8" ht="12.75" customHeight="1">
      <c r="A207" s="23">
        <v>42586</v>
      </c>
      <c r="B207" s="23"/>
      <c r="C207" s="24">
        <f>ROUND(9.43,5)</f>
        <v>9.43</v>
      </c>
      <c r="D207" s="24">
        <f>F207</f>
        <v>9.43641</v>
      </c>
      <c r="E207" s="24">
        <f>F207</f>
        <v>9.43641</v>
      </c>
      <c r="F207" s="24">
        <f>ROUND(9.43641,5)</f>
        <v>9.43641</v>
      </c>
      <c r="G207" s="25"/>
      <c r="H207" s="26"/>
    </row>
    <row r="208" spans="1:8" ht="12.75" customHeight="1">
      <c r="A208" s="23">
        <v>42677</v>
      </c>
      <c r="B208" s="23"/>
      <c r="C208" s="24">
        <f>ROUND(9.43,5)</f>
        <v>9.43</v>
      </c>
      <c r="D208" s="24">
        <f>F208</f>
        <v>9.47839</v>
      </c>
      <c r="E208" s="24">
        <f>F208</f>
        <v>9.47839</v>
      </c>
      <c r="F208" s="24">
        <f>ROUND(9.47839,5)</f>
        <v>9.47839</v>
      </c>
      <c r="G208" s="25"/>
      <c r="H208" s="26"/>
    </row>
    <row r="209" spans="1:8" ht="12.75" customHeight="1">
      <c r="A209" s="23">
        <v>42768</v>
      </c>
      <c r="B209" s="23"/>
      <c r="C209" s="24">
        <f>ROUND(9.43,5)</f>
        <v>9.43</v>
      </c>
      <c r="D209" s="24">
        <f>F209</f>
        <v>9.51739</v>
      </c>
      <c r="E209" s="24">
        <f>F209</f>
        <v>9.51739</v>
      </c>
      <c r="F209" s="24">
        <f>ROUND(9.51739,5)</f>
        <v>9.51739</v>
      </c>
      <c r="G209" s="25"/>
      <c r="H209" s="26"/>
    </row>
    <row r="210" spans="1:8" ht="12.75" customHeight="1">
      <c r="A210" s="23">
        <v>42859</v>
      </c>
      <c r="B210" s="23"/>
      <c r="C210" s="24">
        <f>ROUND(9.43,5)</f>
        <v>9.43</v>
      </c>
      <c r="D210" s="24">
        <f>F210</f>
        <v>9.54399</v>
      </c>
      <c r="E210" s="24">
        <f>F210</f>
        <v>9.54399</v>
      </c>
      <c r="F210" s="24">
        <f>ROUND(9.54399,5)</f>
        <v>9.54399</v>
      </c>
      <c r="G210" s="25"/>
      <c r="H210" s="26"/>
    </row>
    <row r="211" spans="1:8" ht="12.75" customHeight="1">
      <c r="A211" s="23">
        <v>42950</v>
      </c>
      <c r="B211" s="23"/>
      <c r="C211" s="24">
        <f>ROUND(9.43,5)</f>
        <v>9.43</v>
      </c>
      <c r="D211" s="24">
        <f>F211</f>
        <v>9.56336</v>
      </c>
      <c r="E211" s="24">
        <f>F211</f>
        <v>9.56336</v>
      </c>
      <c r="F211" s="24">
        <f>ROUND(9.56336,5)</f>
        <v>9.56336</v>
      </c>
      <c r="G211" s="25"/>
      <c r="H211" s="26"/>
    </row>
    <row r="212" spans="1:8" ht="12.75" customHeight="1">
      <c r="A212" s="23" t="s">
        <v>59</v>
      </c>
      <c r="B212" s="23"/>
      <c r="C212" s="27"/>
      <c r="D212" s="27"/>
      <c r="E212" s="27"/>
      <c r="F212" s="27"/>
      <c r="G212" s="25"/>
      <c r="H212" s="26"/>
    </row>
    <row r="213" spans="1:8" ht="12.75" customHeight="1">
      <c r="A213" s="23">
        <v>42586</v>
      </c>
      <c r="B213" s="23"/>
      <c r="C213" s="24">
        <f>ROUND(9.515,5)</f>
        <v>9.515</v>
      </c>
      <c r="D213" s="24">
        <f>F213</f>
        <v>9.52177</v>
      </c>
      <c r="E213" s="24">
        <f>F213</f>
        <v>9.52177</v>
      </c>
      <c r="F213" s="24">
        <f>ROUND(9.52177,5)</f>
        <v>9.52177</v>
      </c>
      <c r="G213" s="25"/>
      <c r="H213" s="26"/>
    </row>
    <row r="214" spans="1:8" ht="12.75" customHeight="1">
      <c r="A214" s="23">
        <v>42677</v>
      </c>
      <c r="B214" s="23"/>
      <c r="C214" s="24">
        <f>ROUND(9.515,5)</f>
        <v>9.515</v>
      </c>
      <c r="D214" s="24">
        <f>F214</f>
        <v>9.5662</v>
      </c>
      <c r="E214" s="24">
        <f>F214</f>
        <v>9.5662</v>
      </c>
      <c r="F214" s="24">
        <f>ROUND(9.5662,5)</f>
        <v>9.5662</v>
      </c>
      <c r="G214" s="25"/>
      <c r="H214" s="26"/>
    </row>
    <row r="215" spans="1:8" ht="12.75" customHeight="1">
      <c r="A215" s="23">
        <v>42768</v>
      </c>
      <c r="B215" s="23"/>
      <c r="C215" s="24">
        <f>ROUND(9.515,5)</f>
        <v>9.515</v>
      </c>
      <c r="D215" s="24">
        <f>F215</f>
        <v>9.60778</v>
      </c>
      <c r="E215" s="24">
        <f>F215</f>
        <v>9.60778</v>
      </c>
      <c r="F215" s="24">
        <f>ROUND(9.60778,5)</f>
        <v>9.60778</v>
      </c>
      <c r="G215" s="25"/>
      <c r="H215" s="26"/>
    </row>
    <row r="216" spans="1:8" ht="12.75" customHeight="1">
      <c r="A216" s="23">
        <v>42859</v>
      </c>
      <c r="B216" s="23"/>
      <c r="C216" s="24">
        <f>ROUND(9.515,5)</f>
        <v>9.515</v>
      </c>
      <c r="D216" s="24">
        <f>F216</f>
        <v>9.63682</v>
      </c>
      <c r="E216" s="24">
        <f>F216</f>
        <v>9.63682</v>
      </c>
      <c r="F216" s="24">
        <f>ROUND(9.63682,5)</f>
        <v>9.63682</v>
      </c>
      <c r="G216" s="25"/>
      <c r="H216" s="26"/>
    </row>
    <row r="217" spans="1:8" ht="12.75" customHeight="1">
      <c r="A217" s="23">
        <v>42950</v>
      </c>
      <c r="B217" s="23"/>
      <c r="C217" s="24">
        <f>ROUND(9.515,5)</f>
        <v>9.515</v>
      </c>
      <c r="D217" s="24">
        <f>F217</f>
        <v>9.65865</v>
      </c>
      <c r="E217" s="24">
        <f>F217</f>
        <v>9.65865</v>
      </c>
      <c r="F217" s="24">
        <f>ROUND(9.65865,5)</f>
        <v>9.65865</v>
      </c>
      <c r="G217" s="25"/>
      <c r="H217" s="26"/>
    </row>
    <row r="218" spans="1:8" ht="12.75" customHeight="1">
      <c r="A218" s="23" t="s">
        <v>60</v>
      </c>
      <c r="B218" s="23"/>
      <c r="C218" s="27"/>
      <c r="D218" s="27"/>
      <c r="E218" s="27"/>
      <c r="F218" s="27"/>
      <c r="G218" s="25"/>
      <c r="H218" s="26"/>
    </row>
    <row r="219" spans="1:8" ht="12.75" customHeight="1">
      <c r="A219" s="23">
        <v>42580</v>
      </c>
      <c r="B219" s="23"/>
      <c r="C219" s="28">
        <f>ROUND(15.7986166041667,4)</f>
        <v>15.7986</v>
      </c>
      <c r="D219" s="28">
        <f>F219</f>
        <v>15.806</v>
      </c>
      <c r="E219" s="28">
        <f>F219</f>
        <v>15.806</v>
      </c>
      <c r="F219" s="28">
        <f>ROUND(15.806,4)</f>
        <v>15.806</v>
      </c>
      <c r="G219" s="25"/>
      <c r="H219" s="26"/>
    </row>
    <row r="220" spans="1:8" ht="12.75" customHeight="1">
      <c r="A220" s="23">
        <v>42597</v>
      </c>
      <c r="B220" s="23"/>
      <c r="C220" s="28">
        <f>ROUND(15.7986166041667,4)</f>
        <v>15.7986</v>
      </c>
      <c r="D220" s="28">
        <f>F220</f>
        <v>15.8681</v>
      </c>
      <c r="E220" s="28">
        <f>F220</f>
        <v>15.8681</v>
      </c>
      <c r="F220" s="28">
        <f>ROUND(15.8681,4)</f>
        <v>15.8681</v>
      </c>
      <c r="G220" s="25"/>
      <c r="H220" s="26"/>
    </row>
    <row r="221" spans="1:8" ht="12.75" customHeight="1">
      <c r="A221" s="23">
        <v>42643</v>
      </c>
      <c r="B221" s="23"/>
      <c r="C221" s="28">
        <f>ROUND(15.7986166041667,4)</f>
        <v>15.7986</v>
      </c>
      <c r="D221" s="28">
        <f>F221</f>
        <v>16.0419</v>
      </c>
      <c r="E221" s="28">
        <f>F221</f>
        <v>16.0419</v>
      </c>
      <c r="F221" s="28">
        <f>ROUND(16.0419,4)</f>
        <v>16.0419</v>
      </c>
      <c r="G221" s="25"/>
      <c r="H221" s="26"/>
    </row>
    <row r="222" spans="1:8" ht="12.75" customHeight="1">
      <c r="A222" s="23" t="s">
        <v>61</v>
      </c>
      <c r="B222" s="23"/>
      <c r="C222" s="27"/>
      <c r="D222" s="27"/>
      <c r="E222" s="27"/>
      <c r="F222" s="27"/>
      <c r="G222" s="25"/>
      <c r="H222" s="26"/>
    </row>
    <row r="223" spans="1:8" ht="12.75" customHeight="1">
      <c r="A223" s="23">
        <v>42597</v>
      </c>
      <c r="B223" s="23"/>
      <c r="C223" s="28">
        <f>ROUND(18.8796220666667,4)</f>
        <v>18.8796</v>
      </c>
      <c r="D223" s="28">
        <f>F223</f>
        <v>18.954</v>
      </c>
      <c r="E223" s="28">
        <f>F223</f>
        <v>18.954</v>
      </c>
      <c r="F223" s="28">
        <f>ROUND(18.954,4)</f>
        <v>18.954</v>
      </c>
      <c r="G223" s="25"/>
      <c r="H223" s="26"/>
    </row>
    <row r="224" spans="1:8" ht="12.75" customHeight="1">
      <c r="A224" s="23">
        <v>42600</v>
      </c>
      <c r="B224" s="23"/>
      <c r="C224" s="28">
        <f>ROUND(18.8796220666667,4)</f>
        <v>18.8796</v>
      </c>
      <c r="D224" s="28">
        <f>F224</f>
        <v>18.9658</v>
      </c>
      <c r="E224" s="28">
        <f>F224</f>
        <v>18.9658</v>
      </c>
      <c r="F224" s="28">
        <f>ROUND(18.9658,4)</f>
        <v>18.9658</v>
      </c>
      <c r="G224" s="25"/>
      <c r="H224" s="26"/>
    </row>
    <row r="225" spans="1:8" ht="12.75" customHeight="1">
      <c r="A225" s="23">
        <v>42613</v>
      </c>
      <c r="B225" s="23"/>
      <c r="C225" s="28">
        <f>ROUND(18.8796220666667,4)</f>
        <v>18.8796</v>
      </c>
      <c r="D225" s="28">
        <f>F225</f>
        <v>19.0187</v>
      </c>
      <c r="E225" s="28">
        <f>F225</f>
        <v>19.0187</v>
      </c>
      <c r="F225" s="28">
        <f>ROUND(19.0187,4)</f>
        <v>19.0187</v>
      </c>
      <c r="G225" s="25"/>
      <c r="H225" s="26"/>
    </row>
    <row r="226" spans="1:8" ht="12.75" customHeight="1">
      <c r="A226" s="23">
        <v>42621</v>
      </c>
      <c r="B226" s="23"/>
      <c r="C226" s="28">
        <f>ROUND(18.8796220666667,4)</f>
        <v>18.8796</v>
      </c>
      <c r="D226" s="28">
        <f>F226</f>
        <v>19.0504</v>
      </c>
      <c r="E226" s="28">
        <f>F226</f>
        <v>19.0504</v>
      </c>
      <c r="F226" s="28">
        <f>ROUND(19.0504,4)</f>
        <v>19.0504</v>
      </c>
      <c r="G226" s="25"/>
      <c r="H226" s="26"/>
    </row>
    <row r="227" spans="1:8" ht="12.75" customHeight="1">
      <c r="A227" s="23">
        <v>42850</v>
      </c>
      <c r="B227" s="23"/>
      <c r="C227" s="28">
        <f>ROUND(18.8796220666667,4)</f>
        <v>18.8796</v>
      </c>
      <c r="D227" s="28">
        <f>F227</f>
        <v>19.9921</v>
      </c>
      <c r="E227" s="28">
        <f>F227</f>
        <v>19.9921</v>
      </c>
      <c r="F227" s="28">
        <f>ROUND(19.9921,4)</f>
        <v>19.9921</v>
      </c>
      <c r="G227" s="25"/>
      <c r="H227" s="26"/>
    </row>
    <row r="228" spans="1:8" ht="12.75" customHeight="1">
      <c r="A228" s="23" t="s">
        <v>62</v>
      </c>
      <c r="B228" s="23"/>
      <c r="C228" s="27"/>
      <c r="D228" s="27"/>
      <c r="E228" s="27"/>
      <c r="F228" s="27"/>
      <c r="G228" s="25"/>
      <c r="H228" s="26"/>
    </row>
    <row r="229" spans="1:8" ht="12.75" customHeight="1">
      <c r="A229" s="23">
        <v>42576</v>
      </c>
      <c r="B229" s="23"/>
      <c r="C229" s="28">
        <f>ROUND(14.3908333333333,4)</f>
        <v>14.3908</v>
      </c>
      <c r="D229" s="28">
        <f>F229</f>
        <v>14.3615</v>
      </c>
      <c r="E229" s="28">
        <f>F229</f>
        <v>14.3615</v>
      </c>
      <c r="F229" s="28">
        <f>ROUND(14.3615,4)</f>
        <v>14.3615</v>
      </c>
      <c r="G229" s="25"/>
      <c r="H229" s="26"/>
    </row>
    <row r="230" spans="1:8" ht="12.75" customHeight="1">
      <c r="A230" s="23">
        <v>42577</v>
      </c>
      <c r="B230" s="23"/>
      <c r="C230" s="28">
        <f>ROUND(14.3908333333333,4)</f>
        <v>14.3908</v>
      </c>
      <c r="D230" s="28">
        <f>F230</f>
        <v>14.3936</v>
      </c>
      <c r="E230" s="28">
        <f>F230</f>
        <v>14.3936</v>
      </c>
      <c r="F230" s="28">
        <f>ROUND(14.3936,4)</f>
        <v>14.3936</v>
      </c>
      <c r="G230" s="25"/>
      <c r="H230" s="26"/>
    </row>
    <row r="231" spans="1:8" ht="12.75" customHeight="1">
      <c r="A231" s="23">
        <v>42578</v>
      </c>
      <c r="B231" s="23"/>
      <c r="C231" s="28">
        <f>ROUND(14.3908333333333,4)</f>
        <v>14.3908</v>
      </c>
      <c r="D231" s="28">
        <f>F231</f>
        <v>14.3936</v>
      </c>
      <c r="E231" s="28">
        <f>F231</f>
        <v>14.3936</v>
      </c>
      <c r="F231" s="28">
        <f>ROUND(14.3936,4)</f>
        <v>14.3936</v>
      </c>
      <c r="G231" s="25"/>
      <c r="H231" s="26"/>
    </row>
    <row r="232" spans="1:8" ht="12.75" customHeight="1">
      <c r="A232" s="23">
        <v>42579</v>
      </c>
      <c r="B232" s="23"/>
      <c r="C232" s="28">
        <f>ROUND(14.3908333333333,4)</f>
        <v>14.3908</v>
      </c>
      <c r="D232" s="28">
        <f>F232</f>
        <v>14.3937</v>
      </c>
      <c r="E232" s="28">
        <f>F232</f>
        <v>14.3937</v>
      </c>
      <c r="F232" s="28">
        <f>ROUND(14.3937,4)</f>
        <v>14.3937</v>
      </c>
      <c r="G232" s="25"/>
      <c r="H232" s="26"/>
    </row>
    <row r="233" spans="1:8" ht="12.75" customHeight="1">
      <c r="A233" s="23">
        <v>42580</v>
      </c>
      <c r="B233" s="23"/>
      <c r="C233" s="28">
        <f>ROUND(14.3908333333333,4)</f>
        <v>14.3908</v>
      </c>
      <c r="D233" s="28">
        <f>F233</f>
        <v>14.3965</v>
      </c>
      <c r="E233" s="28">
        <f>F233</f>
        <v>14.3965</v>
      </c>
      <c r="F233" s="28">
        <f>ROUND(14.3965,4)</f>
        <v>14.3965</v>
      </c>
      <c r="G233" s="25"/>
      <c r="H233" s="26"/>
    </row>
    <row r="234" spans="1:8" ht="12.75" customHeight="1">
      <c r="A234" s="23">
        <v>42583</v>
      </c>
      <c r="B234" s="23"/>
      <c r="C234" s="28">
        <f>ROUND(14.3908333333333,4)</f>
        <v>14.3908</v>
      </c>
      <c r="D234" s="28">
        <f>F234</f>
        <v>14.4052</v>
      </c>
      <c r="E234" s="28">
        <f>F234</f>
        <v>14.4052</v>
      </c>
      <c r="F234" s="28">
        <f>ROUND(14.4052,4)</f>
        <v>14.4052</v>
      </c>
      <c r="G234" s="25"/>
      <c r="H234" s="26"/>
    </row>
    <row r="235" spans="1:8" ht="12.75" customHeight="1">
      <c r="A235" s="23">
        <v>42584</v>
      </c>
      <c r="B235" s="23"/>
      <c r="C235" s="28">
        <f>ROUND(14.3908333333333,4)</f>
        <v>14.3908</v>
      </c>
      <c r="D235" s="28">
        <f>F235</f>
        <v>14.4081</v>
      </c>
      <c r="E235" s="28">
        <f>F235</f>
        <v>14.4081</v>
      </c>
      <c r="F235" s="28">
        <f>ROUND(14.4081,4)</f>
        <v>14.4081</v>
      </c>
      <c r="G235" s="25"/>
      <c r="H235" s="26"/>
    </row>
    <row r="236" spans="1:8" ht="12.75" customHeight="1">
      <c r="A236" s="23">
        <v>42587</v>
      </c>
      <c r="B236" s="23"/>
      <c r="C236" s="28">
        <f>ROUND(14.3908333333333,4)</f>
        <v>14.3908</v>
      </c>
      <c r="D236" s="28">
        <f>F236</f>
        <v>14.4167</v>
      </c>
      <c r="E236" s="28">
        <f>F236</f>
        <v>14.4167</v>
      </c>
      <c r="F236" s="28">
        <f>ROUND(14.4167,4)</f>
        <v>14.4167</v>
      </c>
      <c r="G236" s="25"/>
      <c r="H236" s="26"/>
    </row>
    <row r="237" spans="1:8" ht="12.75" customHeight="1">
      <c r="A237" s="23">
        <v>42593</v>
      </c>
      <c r="B237" s="23"/>
      <c r="C237" s="28">
        <f>ROUND(14.3908333333333,4)</f>
        <v>14.3908</v>
      </c>
      <c r="D237" s="28">
        <f>F237</f>
        <v>14.4337</v>
      </c>
      <c r="E237" s="28">
        <f>F237</f>
        <v>14.4337</v>
      </c>
      <c r="F237" s="28">
        <f>ROUND(14.4337,4)</f>
        <v>14.4337</v>
      </c>
      <c r="G237" s="25"/>
      <c r="H237" s="26"/>
    </row>
    <row r="238" spans="1:8" ht="12.75" customHeight="1">
      <c r="A238" s="23">
        <v>42597</v>
      </c>
      <c r="B238" s="23"/>
      <c r="C238" s="28">
        <f>ROUND(14.3908333333333,4)</f>
        <v>14.3908</v>
      </c>
      <c r="D238" s="28">
        <f>F238</f>
        <v>14.445</v>
      </c>
      <c r="E238" s="28">
        <f>F238</f>
        <v>14.445</v>
      </c>
      <c r="F238" s="28">
        <f>ROUND(14.445,4)</f>
        <v>14.445</v>
      </c>
      <c r="G238" s="25"/>
      <c r="H238" s="26"/>
    </row>
    <row r="239" spans="1:8" ht="12.75" customHeight="1">
      <c r="A239" s="23">
        <v>42598</v>
      </c>
      <c r="B239" s="23"/>
      <c r="C239" s="28">
        <f>ROUND(14.3908333333333,4)</f>
        <v>14.3908</v>
      </c>
      <c r="D239" s="28">
        <f>F239</f>
        <v>14.4479</v>
      </c>
      <c r="E239" s="28">
        <f>F239</f>
        <v>14.4479</v>
      </c>
      <c r="F239" s="28">
        <f>ROUND(14.4479,4)</f>
        <v>14.4479</v>
      </c>
      <c r="G239" s="25"/>
      <c r="H239" s="26"/>
    </row>
    <row r="240" spans="1:8" ht="12.75" customHeight="1">
      <c r="A240" s="23">
        <v>42599</v>
      </c>
      <c r="B240" s="23"/>
      <c r="C240" s="28">
        <f>ROUND(14.3908333333333,4)</f>
        <v>14.3908</v>
      </c>
      <c r="D240" s="28">
        <f>F240</f>
        <v>14.4507</v>
      </c>
      <c r="E240" s="28">
        <f>F240</f>
        <v>14.4507</v>
      </c>
      <c r="F240" s="28">
        <f>ROUND(14.4507,4)</f>
        <v>14.4507</v>
      </c>
      <c r="G240" s="25"/>
      <c r="H240" s="26"/>
    </row>
    <row r="241" spans="1:8" ht="12.75" customHeight="1">
      <c r="A241" s="23">
        <v>42600</v>
      </c>
      <c r="B241" s="23"/>
      <c r="C241" s="28">
        <f>ROUND(14.3908333333333,4)</f>
        <v>14.3908</v>
      </c>
      <c r="D241" s="28">
        <f>F241</f>
        <v>14.4536</v>
      </c>
      <c r="E241" s="28">
        <f>F241</f>
        <v>14.4536</v>
      </c>
      <c r="F241" s="28">
        <f>ROUND(14.4536,4)</f>
        <v>14.4536</v>
      </c>
      <c r="G241" s="25"/>
      <c r="H241" s="26"/>
    </row>
    <row r="242" spans="1:8" ht="12.75" customHeight="1">
      <c r="A242" s="23">
        <v>42605</v>
      </c>
      <c r="B242" s="23"/>
      <c r="C242" s="28">
        <f>ROUND(14.3908333333333,4)</f>
        <v>14.3908</v>
      </c>
      <c r="D242" s="28">
        <f>F242</f>
        <v>14.4677</v>
      </c>
      <c r="E242" s="28">
        <f>F242</f>
        <v>14.4677</v>
      </c>
      <c r="F242" s="28">
        <f>ROUND(14.4677,4)</f>
        <v>14.4677</v>
      </c>
      <c r="G242" s="25"/>
      <c r="H242" s="26"/>
    </row>
    <row r="243" spans="1:8" ht="12.75" customHeight="1">
      <c r="A243" s="23">
        <v>42608</v>
      </c>
      <c r="B243" s="23"/>
      <c r="C243" s="28">
        <f>ROUND(14.3908333333333,4)</f>
        <v>14.3908</v>
      </c>
      <c r="D243" s="28">
        <f>F243</f>
        <v>14.4763</v>
      </c>
      <c r="E243" s="28">
        <f>F243</f>
        <v>14.4763</v>
      </c>
      <c r="F243" s="28">
        <f>ROUND(14.4763,4)</f>
        <v>14.4763</v>
      </c>
      <c r="G243" s="25"/>
      <c r="H243" s="26"/>
    </row>
    <row r="244" spans="1:8" ht="12.75" customHeight="1">
      <c r="A244" s="23">
        <v>42611</v>
      </c>
      <c r="B244" s="23"/>
      <c r="C244" s="28">
        <f>ROUND(14.3908333333333,4)</f>
        <v>14.3908</v>
      </c>
      <c r="D244" s="28">
        <f>F244</f>
        <v>14.4848</v>
      </c>
      <c r="E244" s="28">
        <f>F244</f>
        <v>14.4848</v>
      </c>
      <c r="F244" s="28">
        <f>ROUND(14.4848,4)</f>
        <v>14.4848</v>
      </c>
      <c r="G244" s="25"/>
      <c r="H244" s="26"/>
    </row>
    <row r="245" spans="1:8" ht="12.75" customHeight="1">
      <c r="A245" s="23">
        <v>42613</v>
      </c>
      <c r="B245" s="23"/>
      <c r="C245" s="28">
        <f>ROUND(14.3908333333333,4)</f>
        <v>14.3908</v>
      </c>
      <c r="D245" s="28">
        <f>F245</f>
        <v>14.4904</v>
      </c>
      <c r="E245" s="28">
        <f>F245</f>
        <v>14.4904</v>
      </c>
      <c r="F245" s="28">
        <f>ROUND(14.4904,4)</f>
        <v>14.4904</v>
      </c>
      <c r="G245" s="25"/>
      <c r="H245" s="26"/>
    </row>
    <row r="246" spans="1:8" ht="12.75" customHeight="1">
      <c r="A246" s="23">
        <v>42619</v>
      </c>
      <c r="B246" s="23"/>
      <c r="C246" s="28">
        <f>ROUND(14.3908333333333,4)</f>
        <v>14.3908</v>
      </c>
      <c r="D246" s="28">
        <f>F246</f>
        <v>14.5073</v>
      </c>
      <c r="E246" s="28">
        <f>F246</f>
        <v>14.5073</v>
      </c>
      <c r="F246" s="28">
        <f>ROUND(14.5073,4)</f>
        <v>14.5073</v>
      </c>
      <c r="G246" s="25"/>
      <c r="H246" s="26"/>
    </row>
    <row r="247" spans="1:8" ht="12.75" customHeight="1">
      <c r="A247" s="23">
        <v>42621</v>
      </c>
      <c r="B247" s="23"/>
      <c r="C247" s="28">
        <f>ROUND(14.3908333333333,4)</f>
        <v>14.3908</v>
      </c>
      <c r="D247" s="28">
        <f>F247</f>
        <v>14.5129</v>
      </c>
      <c r="E247" s="28">
        <f>F247</f>
        <v>14.5129</v>
      </c>
      <c r="F247" s="28">
        <f>ROUND(14.5129,4)</f>
        <v>14.5129</v>
      </c>
      <c r="G247" s="25"/>
      <c r="H247" s="26"/>
    </row>
    <row r="248" spans="1:8" ht="12.75" customHeight="1">
      <c r="A248" s="23">
        <v>42622</v>
      </c>
      <c r="B248" s="23"/>
      <c r="C248" s="28">
        <f>ROUND(14.3908333333333,4)</f>
        <v>14.3908</v>
      </c>
      <c r="D248" s="28">
        <f>F248</f>
        <v>14.5157</v>
      </c>
      <c r="E248" s="28">
        <f>F248</f>
        <v>14.5157</v>
      </c>
      <c r="F248" s="28">
        <f>ROUND(14.5157,4)</f>
        <v>14.5157</v>
      </c>
      <c r="G248" s="25"/>
      <c r="H248" s="26"/>
    </row>
    <row r="249" spans="1:8" ht="12.75" customHeight="1">
      <c r="A249" s="23">
        <v>42626</v>
      </c>
      <c r="B249" s="23"/>
      <c r="C249" s="28">
        <f>ROUND(14.3908333333333,4)</f>
        <v>14.3908</v>
      </c>
      <c r="D249" s="28">
        <f>F249</f>
        <v>14.5269</v>
      </c>
      <c r="E249" s="28">
        <f>F249</f>
        <v>14.5269</v>
      </c>
      <c r="F249" s="28">
        <f>ROUND(14.5269,4)</f>
        <v>14.5269</v>
      </c>
      <c r="G249" s="25"/>
      <c r="H249" s="26"/>
    </row>
    <row r="250" spans="1:8" ht="12.75" customHeight="1">
      <c r="A250" s="23">
        <v>42628</v>
      </c>
      <c r="B250" s="23"/>
      <c r="C250" s="28">
        <f>ROUND(14.3908333333333,4)</f>
        <v>14.3908</v>
      </c>
      <c r="D250" s="28">
        <f>F250</f>
        <v>14.5325</v>
      </c>
      <c r="E250" s="28">
        <f>F250</f>
        <v>14.5325</v>
      </c>
      <c r="F250" s="28">
        <f>ROUND(14.5325,4)</f>
        <v>14.5325</v>
      </c>
      <c r="G250" s="25"/>
      <c r="H250" s="26"/>
    </row>
    <row r="251" spans="1:8" ht="12.75" customHeight="1">
      <c r="A251" s="23">
        <v>42640</v>
      </c>
      <c r="B251" s="23"/>
      <c r="C251" s="28">
        <f>ROUND(14.3908333333333,4)</f>
        <v>14.3908</v>
      </c>
      <c r="D251" s="28">
        <f>F251</f>
        <v>14.5663</v>
      </c>
      <c r="E251" s="28">
        <f>F251</f>
        <v>14.5663</v>
      </c>
      <c r="F251" s="28">
        <f>ROUND(14.5663,4)</f>
        <v>14.5663</v>
      </c>
      <c r="G251" s="25"/>
      <c r="H251" s="26"/>
    </row>
    <row r="252" spans="1:8" ht="12.75" customHeight="1">
      <c r="A252" s="23">
        <v>42641</v>
      </c>
      <c r="B252" s="23"/>
      <c r="C252" s="28">
        <f>ROUND(14.3908333333333,4)</f>
        <v>14.3908</v>
      </c>
      <c r="D252" s="28">
        <f>F252</f>
        <v>14.5691</v>
      </c>
      <c r="E252" s="28">
        <f>F252</f>
        <v>14.5691</v>
      </c>
      <c r="F252" s="28">
        <f>ROUND(14.5691,4)</f>
        <v>14.5691</v>
      </c>
      <c r="G252" s="25"/>
      <c r="H252" s="26"/>
    </row>
    <row r="253" spans="1:8" ht="12.75" customHeight="1">
      <c r="A253" s="23">
        <v>42643</v>
      </c>
      <c r="B253" s="23"/>
      <c r="C253" s="28">
        <f>ROUND(14.3908333333333,4)</f>
        <v>14.3908</v>
      </c>
      <c r="D253" s="28">
        <f>F253</f>
        <v>14.5746</v>
      </c>
      <c r="E253" s="28">
        <f>F253</f>
        <v>14.5746</v>
      </c>
      <c r="F253" s="28">
        <f>ROUND(14.5746,4)</f>
        <v>14.5746</v>
      </c>
      <c r="G253" s="25"/>
      <c r="H253" s="26"/>
    </row>
    <row r="254" spans="1:8" ht="12.75" customHeight="1">
      <c r="A254" s="23">
        <v>42657</v>
      </c>
      <c r="B254" s="23"/>
      <c r="C254" s="28">
        <f>ROUND(14.3908333333333,4)</f>
        <v>14.3908</v>
      </c>
      <c r="D254" s="28">
        <f>F254</f>
        <v>14.6136</v>
      </c>
      <c r="E254" s="28">
        <f>F254</f>
        <v>14.6136</v>
      </c>
      <c r="F254" s="28">
        <f>ROUND(14.6136,4)</f>
        <v>14.6136</v>
      </c>
      <c r="G254" s="25"/>
      <c r="H254" s="26"/>
    </row>
    <row r="255" spans="1:8" ht="12.75" customHeight="1">
      <c r="A255" s="23">
        <v>42662</v>
      </c>
      <c r="B255" s="23"/>
      <c r="C255" s="28">
        <f>ROUND(14.3908333333333,4)</f>
        <v>14.3908</v>
      </c>
      <c r="D255" s="28">
        <f>F255</f>
        <v>14.6276</v>
      </c>
      <c r="E255" s="28">
        <f>F255</f>
        <v>14.6276</v>
      </c>
      <c r="F255" s="28">
        <f>ROUND(14.6276,4)</f>
        <v>14.6276</v>
      </c>
      <c r="G255" s="25"/>
      <c r="H255" s="26"/>
    </row>
    <row r="256" spans="1:8" ht="12.75" customHeight="1">
      <c r="A256" s="23">
        <v>42669</v>
      </c>
      <c r="B256" s="23"/>
      <c r="C256" s="28">
        <f>ROUND(14.3908333333333,4)</f>
        <v>14.3908</v>
      </c>
      <c r="D256" s="28">
        <f>F256</f>
        <v>14.6471</v>
      </c>
      <c r="E256" s="28">
        <f>F256</f>
        <v>14.6471</v>
      </c>
      <c r="F256" s="28">
        <f>ROUND(14.6471,4)</f>
        <v>14.6471</v>
      </c>
      <c r="G256" s="25"/>
      <c r="H256" s="26"/>
    </row>
    <row r="257" spans="1:8" ht="12.75" customHeight="1">
      <c r="A257" s="23">
        <v>42670</v>
      </c>
      <c r="B257" s="23"/>
      <c r="C257" s="28">
        <f>ROUND(14.3908333333333,4)</f>
        <v>14.3908</v>
      </c>
      <c r="D257" s="28">
        <f>F257</f>
        <v>14.6498</v>
      </c>
      <c r="E257" s="28">
        <f>F257</f>
        <v>14.6498</v>
      </c>
      <c r="F257" s="28">
        <f>ROUND(14.6498,4)</f>
        <v>14.6498</v>
      </c>
      <c r="G257" s="25"/>
      <c r="H257" s="26"/>
    </row>
    <row r="258" spans="1:8" ht="12.75" customHeight="1">
      <c r="A258" s="23">
        <v>42681</v>
      </c>
      <c r="B258" s="23"/>
      <c r="C258" s="28">
        <f>ROUND(14.3908333333333,4)</f>
        <v>14.3908</v>
      </c>
      <c r="D258" s="28">
        <f>F258</f>
        <v>14.681</v>
      </c>
      <c r="E258" s="28">
        <f>F258</f>
        <v>14.681</v>
      </c>
      <c r="F258" s="28">
        <f>ROUND(14.681,4)</f>
        <v>14.681</v>
      </c>
      <c r="G258" s="25"/>
      <c r="H258" s="26"/>
    </row>
    <row r="259" spans="1:8" ht="12.75" customHeight="1">
      <c r="A259" s="23">
        <v>42691</v>
      </c>
      <c r="B259" s="23"/>
      <c r="C259" s="28">
        <f>ROUND(14.3908333333333,4)</f>
        <v>14.3908</v>
      </c>
      <c r="D259" s="28">
        <f>F259</f>
        <v>14.7093</v>
      </c>
      <c r="E259" s="28">
        <f>F259</f>
        <v>14.7093</v>
      </c>
      <c r="F259" s="28">
        <f>ROUND(14.7093,4)</f>
        <v>14.7093</v>
      </c>
      <c r="G259" s="25"/>
      <c r="H259" s="26"/>
    </row>
    <row r="260" spans="1:8" ht="12.75" customHeight="1">
      <c r="A260" s="23">
        <v>42702</v>
      </c>
      <c r="B260" s="23"/>
      <c r="C260" s="28">
        <f>ROUND(14.3908333333333,4)</f>
        <v>14.3908</v>
      </c>
      <c r="D260" s="28">
        <f>F260</f>
        <v>14.7404</v>
      </c>
      <c r="E260" s="28">
        <f>F260</f>
        <v>14.7404</v>
      </c>
      <c r="F260" s="28">
        <f>ROUND(14.7404,4)</f>
        <v>14.7404</v>
      </c>
      <c r="G260" s="25"/>
      <c r="H260" s="26"/>
    </row>
    <row r="261" spans="1:8" ht="12.75" customHeight="1">
      <c r="A261" s="23">
        <v>42718</v>
      </c>
      <c r="B261" s="23"/>
      <c r="C261" s="28">
        <f>ROUND(14.3908333333333,4)</f>
        <v>14.3908</v>
      </c>
      <c r="D261" s="28">
        <f>F261</f>
        <v>14.7857</v>
      </c>
      <c r="E261" s="28">
        <f>F261</f>
        <v>14.7857</v>
      </c>
      <c r="F261" s="28">
        <f>ROUND(14.7857,4)</f>
        <v>14.7857</v>
      </c>
      <c r="G261" s="25"/>
      <c r="H261" s="26"/>
    </row>
    <row r="262" spans="1:8" ht="12.75" customHeight="1">
      <c r="A262" s="23">
        <v>42748</v>
      </c>
      <c r="B262" s="23"/>
      <c r="C262" s="28">
        <f>ROUND(14.3908333333333,4)</f>
        <v>14.3908</v>
      </c>
      <c r="D262" s="28">
        <f>F262</f>
        <v>14.8706</v>
      </c>
      <c r="E262" s="28">
        <f>F262</f>
        <v>14.8706</v>
      </c>
      <c r="F262" s="28">
        <f>ROUND(14.8706,4)</f>
        <v>14.8706</v>
      </c>
      <c r="G262" s="25"/>
      <c r="H262" s="26"/>
    </row>
    <row r="263" spans="1:8" ht="12.75" customHeight="1">
      <c r="A263" s="23">
        <v>42760</v>
      </c>
      <c r="B263" s="23"/>
      <c r="C263" s="28">
        <f>ROUND(14.3908333333333,4)</f>
        <v>14.3908</v>
      </c>
      <c r="D263" s="28">
        <f>F263</f>
        <v>14.9046</v>
      </c>
      <c r="E263" s="28">
        <f>F263</f>
        <v>14.9046</v>
      </c>
      <c r="F263" s="28">
        <f>ROUND(14.9046,4)</f>
        <v>14.9046</v>
      </c>
      <c r="G263" s="25"/>
      <c r="H263" s="26"/>
    </row>
    <row r="264" spans="1:8" ht="12.75" customHeight="1">
      <c r="A264" s="23">
        <v>42837</v>
      </c>
      <c r="B264" s="23"/>
      <c r="C264" s="28">
        <f>ROUND(14.3908333333333,4)</f>
        <v>14.3908</v>
      </c>
      <c r="D264" s="28">
        <f>F264</f>
        <v>15.1252</v>
      </c>
      <c r="E264" s="28">
        <f>F264</f>
        <v>15.1252</v>
      </c>
      <c r="F264" s="28">
        <f>ROUND(15.1252,4)</f>
        <v>15.1252</v>
      </c>
      <c r="G264" s="25"/>
      <c r="H264" s="26"/>
    </row>
    <row r="265" spans="1:8" ht="12.75" customHeight="1">
      <c r="A265" s="23">
        <v>42850</v>
      </c>
      <c r="B265" s="23"/>
      <c r="C265" s="28">
        <f>ROUND(14.3908333333333,4)</f>
        <v>14.3908</v>
      </c>
      <c r="D265" s="28">
        <f>F265</f>
        <v>15.1624</v>
      </c>
      <c r="E265" s="28">
        <f>F265</f>
        <v>15.1624</v>
      </c>
      <c r="F265" s="28">
        <f>ROUND(15.1624,4)</f>
        <v>15.1624</v>
      </c>
      <c r="G265" s="25"/>
      <c r="H265" s="26"/>
    </row>
    <row r="266" spans="1:8" ht="12.75" customHeight="1">
      <c r="A266" s="23">
        <v>42928</v>
      </c>
      <c r="B266" s="23"/>
      <c r="C266" s="28">
        <f>ROUND(14.3908333333333,4)</f>
        <v>14.3908</v>
      </c>
      <c r="D266" s="28">
        <f>F266</f>
        <v>15.3907</v>
      </c>
      <c r="E266" s="28">
        <f>F266</f>
        <v>15.3907</v>
      </c>
      <c r="F266" s="28">
        <f>ROUND(15.3907,4)</f>
        <v>15.3907</v>
      </c>
      <c r="G266" s="25"/>
      <c r="H266" s="26"/>
    </row>
    <row r="267" spans="1:8" ht="12.75" customHeight="1">
      <c r="A267" s="23" t="s">
        <v>63</v>
      </c>
      <c r="B267" s="23"/>
      <c r="C267" s="27"/>
      <c r="D267" s="27"/>
      <c r="E267" s="27"/>
      <c r="F267" s="27"/>
      <c r="G267" s="25"/>
      <c r="H267" s="26"/>
    </row>
    <row r="268" spans="1:8" ht="12.75" customHeight="1">
      <c r="A268" s="23">
        <v>42632</v>
      </c>
      <c r="B268" s="23"/>
      <c r="C268" s="28">
        <f>ROUND(1.097825,4)</f>
        <v>1.0978</v>
      </c>
      <c r="D268" s="28">
        <f>F268</f>
        <v>1.1002</v>
      </c>
      <c r="E268" s="28">
        <f>F268</f>
        <v>1.1002</v>
      </c>
      <c r="F268" s="28">
        <f>ROUND(1.1002,4)</f>
        <v>1.1002</v>
      </c>
      <c r="G268" s="25"/>
      <c r="H268" s="26"/>
    </row>
    <row r="269" spans="1:8" ht="12.75" customHeight="1">
      <c r="A269" s="23">
        <v>42723</v>
      </c>
      <c r="B269" s="23"/>
      <c r="C269" s="28">
        <f>ROUND(1.097825,4)</f>
        <v>1.0978</v>
      </c>
      <c r="D269" s="28">
        <f>F269</f>
        <v>1.1046</v>
      </c>
      <c r="E269" s="28">
        <f>F269</f>
        <v>1.1046</v>
      </c>
      <c r="F269" s="28">
        <f>ROUND(1.1046,4)</f>
        <v>1.1046</v>
      </c>
      <c r="G269" s="25"/>
      <c r="H269" s="26"/>
    </row>
    <row r="270" spans="1:8" ht="12.75" customHeight="1">
      <c r="A270" s="23">
        <v>42807</v>
      </c>
      <c r="B270" s="23"/>
      <c r="C270" s="28">
        <f>ROUND(1.097825,4)</f>
        <v>1.0978</v>
      </c>
      <c r="D270" s="28">
        <f>F270</f>
        <v>1.109</v>
      </c>
      <c r="E270" s="28">
        <f>F270</f>
        <v>1.109</v>
      </c>
      <c r="F270" s="28">
        <f>ROUND(1.109,4)</f>
        <v>1.109</v>
      </c>
      <c r="G270" s="25"/>
      <c r="H270" s="26"/>
    </row>
    <row r="271" spans="1:8" ht="12.75" customHeight="1">
      <c r="A271" s="23">
        <v>42905</v>
      </c>
      <c r="B271" s="23"/>
      <c r="C271" s="28">
        <f>ROUND(1.097825,4)</f>
        <v>1.0978</v>
      </c>
      <c r="D271" s="28">
        <f>F271</f>
        <v>1.1141</v>
      </c>
      <c r="E271" s="28">
        <f>F271</f>
        <v>1.1141</v>
      </c>
      <c r="F271" s="28">
        <f>ROUND(1.1141,4)</f>
        <v>1.1141</v>
      </c>
      <c r="G271" s="25"/>
      <c r="H271" s="26"/>
    </row>
    <row r="272" spans="1:8" ht="12.75" customHeight="1">
      <c r="A272" s="23" t="s">
        <v>64</v>
      </c>
      <c r="B272" s="23"/>
      <c r="C272" s="27"/>
      <c r="D272" s="27"/>
      <c r="E272" s="27"/>
      <c r="F272" s="27"/>
      <c r="G272" s="25"/>
      <c r="H272" s="26"/>
    </row>
    <row r="273" spans="1:8" ht="12.75" customHeight="1">
      <c r="A273" s="23">
        <v>42632</v>
      </c>
      <c r="B273" s="23"/>
      <c r="C273" s="28">
        <f>ROUND(10.7372885666667,4)</f>
        <v>10.7373</v>
      </c>
      <c r="D273" s="28">
        <f>F273</f>
        <v>10.8318</v>
      </c>
      <c r="E273" s="28">
        <f>F273</f>
        <v>10.8318</v>
      </c>
      <c r="F273" s="28">
        <f>ROUND(10.8318,4)</f>
        <v>10.8318</v>
      </c>
      <c r="G273" s="25"/>
      <c r="H273" s="26"/>
    </row>
    <row r="274" spans="1:8" ht="12.75" customHeight="1">
      <c r="A274" s="23">
        <v>42723</v>
      </c>
      <c r="B274" s="23"/>
      <c r="C274" s="28">
        <f>ROUND(10.7372885666667,4)</f>
        <v>10.7373</v>
      </c>
      <c r="D274" s="28">
        <f>F274</f>
        <v>10.9934</v>
      </c>
      <c r="E274" s="28">
        <f>F274</f>
        <v>10.9934</v>
      </c>
      <c r="F274" s="28">
        <f>ROUND(10.9934,4)</f>
        <v>10.9934</v>
      </c>
      <c r="G274" s="25"/>
      <c r="H274" s="26"/>
    </row>
    <row r="275" spans="1:8" ht="12.75" customHeight="1">
      <c r="A275" s="23">
        <v>42807</v>
      </c>
      <c r="B275" s="23"/>
      <c r="C275" s="28">
        <f>ROUND(10.7372885666667,4)</f>
        <v>10.7373</v>
      </c>
      <c r="D275" s="28">
        <f>F275</f>
        <v>11.1473</v>
      </c>
      <c r="E275" s="28">
        <f>F275</f>
        <v>11.1473</v>
      </c>
      <c r="F275" s="28">
        <f>ROUND(11.1473,4)</f>
        <v>11.1473</v>
      </c>
      <c r="G275" s="25"/>
      <c r="H275" s="26"/>
    </row>
    <row r="276" spans="1:8" ht="12.75" customHeight="1">
      <c r="A276" s="23">
        <v>42905</v>
      </c>
      <c r="B276" s="23"/>
      <c r="C276" s="28">
        <f>ROUND(10.7372885666667,4)</f>
        <v>10.7373</v>
      </c>
      <c r="D276" s="28">
        <f>F276</f>
        <v>11.3317</v>
      </c>
      <c r="E276" s="28">
        <f>F276</f>
        <v>11.3317</v>
      </c>
      <c r="F276" s="28">
        <f>ROUND(11.3317,4)</f>
        <v>11.3317</v>
      </c>
      <c r="G276" s="25"/>
      <c r="H276" s="26"/>
    </row>
    <row r="277" spans="1:8" ht="12.75" customHeight="1">
      <c r="A277" s="23">
        <v>42996</v>
      </c>
      <c r="B277" s="23"/>
      <c r="C277" s="28">
        <f>ROUND(10.7372885666667,4)</f>
        <v>10.7373</v>
      </c>
      <c r="D277" s="28">
        <f>F277</f>
        <v>11.4061</v>
      </c>
      <c r="E277" s="28">
        <f>F277</f>
        <v>11.4061</v>
      </c>
      <c r="F277" s="28">
        <f>ROUND(11.4061,4)</f>
        <v>11.4061</v>
      </c>
      <c r="G277" s="25"/>
      <c r="H277" s="26"/>
    </row>
    <row r="278" spans="1:8" ht="12.75" customHeight="1">
      <c r="A278" s="23">
        <v>43087</v>
      </c>
      <c r="B278" s="23"/>
      <c r="C278" s="28">
        <f>ROUND(10.7372885666667,4)</f>
        <v>10.7373</v>
      </c>
      <c r="D278" s="28">
        <f>F278</f>
        <v>11.4107</v>
      </c>
      <c r="E278" s="28">
        <f>F278</f>
        <v>11.4107</v>
      </c>
      <c r="F278" s="28">
        <f>ROUND(11.4107,4)</f>
        <v>11.4107</v>
      </c>
      <c r="G278" s="25"/>
      <c r="H278" s="26"/>
    </row>
    <row r="279" spans="1:8" ht="12.75" customHeight="1">
      <c r="A279" s="23">
        <v>43178</v>
      </c>
      <c r="B279" s="23"/>
      <c r="C279" s="28">
        <f>ROUND(10.7372885666667,4)</f>
        <v>10.7373</v>
      </c>
      <c r="D279" s="28">
        <f>F279</f>
        <v>11.4167</v>
      </c>
      <c r="E279" s="28">
        <f>F279</f>
        <v>11.4167</v>
      </c>
      <c r="F279" s="28">
        <f>ROUND(11.4167,4)</f>
        <v>11.4167</v>
      </c>
      <c r="G279" s="25"/>
      <c r="H279" s="26"/>
    </row>
    <row r="280" spans="1:8" ht="12.75" customHeight="1">
      <c r="A280" s="23" t="s">
        <v>65</v>
      </c>
      <c r="B280" s="23"/>
      <c r="C280" s="27"/>
      <c r="D280" s="27"/>
      <c r="E280" s="27"/>
      <c r="F280" s="27"/>
      <c r="G280" s="25"/>
      <c r="H280" s="26"/>
    </row>
    <row r="281" spans="1:8" ht="12.75" customHeight="1">
      <c r="A281" s="23">
        <v>42632</v>
      </c>
      <c r="B281" s="23"/>
      <c r="C281" s="28">
        <f>ROUND(3.91789859609957,4)</f>
        <v>3.9179</v>
      </c>
      <c r="D281" s="28">
        <f>F281</f>
        <v>4.2277</v>
      </c>
      <c r="E281" s="28">
        <f>F281</f>
        <v>4.2277</v>
      </c>
      <c r="F281" s="28">
        <f>ROUND(4.2277,4)</f>
        <v>4.2277</v>
      </c>
      <c r="G281" s="25"/>
      <c r="H281" s="26"/>
    </row>
    <row r="282" spans="1:8" ht="12.75" customHeight="1">
      <c r="A282" s="23">
        <v>42723</v>
      </c>
      <c r="B282" s="23"/>
      <c r="C282" s="28">
        <f>ROUND(3.91789859609957,4)</f>
        <v>3.9179</v>
      </c>
      <c r="D282" s="28">
        <f>F282</f>
        <v>4.2376</v>
      </c>
      <c r="E282" s="28">
        <f>F282</f>
        <v>4.2376</v>
      </c>
      <c r="F282" s="28">
        <f>ROUND(4.2376,4)</f>
        <v>4.2376</v>
      </c>
      <c r="G282" s="25"/>
      <c r="H282" s="26"/>
    </row>
    <row r="283" spans="1:8" ht="12.75" customHeight="1">
      <c r="A283" s="23">
        <v>42807</v>
      </c>
      <c r="B283" s="23"/>
      <c r="C283" s="28">
        <f>ROUND(3.91789859609957,4)</f>
        <v>3.9179</v>
      </c>
      <c r="D283" s="28">
        <f>F283</f>
        <v>4.3232</v>
      </c>
      <c r="E283" s="28">
        <f>F283</f>
        <v>4.3232</v>
      </c>
      <c r="F283" s="28">
        <f>ROUND(4.3232,4)</f>
        <v>4.3232</v>
      </c>
      <c r="G283" s="25"/>
      <c r="H283" s="26"/>
    </row>
    <row r="284" spans="1:8" ht="12.75" customHeight="1">
      <c r="A284" s="23" t="s">
        <v>66</v>
      </c>
      <c r="B284" s="23"/>
      <c r="C284" s="27"/>
      <c r="D284" s="27"/>
      <c r="E284" s="27"/>
      <c r="F284" s="27"/>
      <c r="G284" s="25"/>
      <c r="H284" s="26"/>
    </row>
    <row r="285" spans="1:8" ht="12.75" customHeight="1">
      <c r="A285" s="23">
        <v>42632</v>
      </c>
      <c r="B285" s="23"/>
      <c r="C285" s="28">
        <f>ROUND(1.33474979166667,4)</f>
        <v>1.3347</v>
      </c>
      <c r="D285" s="28">
        <f>F285</f>
        <v>1.3466</v>
      </c>
      <c r="E285" s="28">
        <f>F285</f>
        <v>1.3466</v>
      </c>
      <c r="F285" s="28">
        <f>ROUND(1.3466,4)</f>
        <v>1.3466</v>
      </c>
      <c r="G285" s="25"/>
      <c r="H285" s="26"/>
    </row>
    <row r="286" spans="1:8" ht="12.75" customHeight="1">
      <c r="A286" s="23">
        <v>42723</v>
      </c>
      <c r="B286" s="23"/>
      <c r="C286" s="28">
        <f>ROUND(1.33474979166667,4)</f>
        <v>1.3347</v>
      </c>
      <c r="D286" s="28">
        <f>F286</f>
        <v>1.3619</v>
      </c>
      <c r="E286" s="28">
        <f>F286</f>
        <v>1.3619</v>
      </c>
      <c r="F286" s="28">
        <f>ROUND(1.3619,4)</f>
        <v>1.3619</v>
      </c>
      <c r="G286" s="25"/>
      <c r="H286" s="26"/>
    </row>
    <row r="287" spans="1:8" ht="12.75" customHeight="1">
      <c r="A287" s="23">
        <v>42807</v>
      </c>
      <c r="B287" s="23"/>
      <c r="C287" s="28">
        <f>ROUND(1.33474979166667,4)</f>
        <v>1.3347</v>
      </c>
      <c r="D287" s="28">
        <f>F287</f>
        <v>1.3771</v>
      </c>
      <c r="E287" s="28">
        <f>F287</f>
        <v>1.3771</v>
      </c>
      <c r="F287" s="28">
        <f>ROUND(1.3771,4)</f>
        <v>1.3771</v>
      </c>
      <c r="G287" s="25"/>
      <c r="H287" s="26"/>
    </row>
    <row r="288" spans="1:8" ht="12.75" customHeight="1">
      <c r="A288" s="23">
        <v>42905</v>
      </c>
      <c r="B288" s="23"/>
      <c r="C288" s="28">
        <f>ROUND(1.33474979166667,4)</f>
        <v>1.3347</v>
      </c>
      <c r="D288" s="28">
        <f>F288</f>
        <v>1.3904</v>
      </c>
      <c r="E288" s="28">
        <f>F288</f>
        <v>1.3904</v>
      </c>
      <c r="F288" s="28">
        <f>ROUND(1.3904,4)</f>
        <v>1.3904</v>
      </c>
      <c r="G288" s="25"/>
      <c r="H288" s="26"/>
    </row>
    <row r="289" spans="1:8" ht="12.75" customHeight="1">
      <c r="A289" s="23" t="s">
        <v>67</v>
      </c>
      <c r="B289" s="23"/>
      <c r="C289" s="27"/>
      <c r="D289" s="27"/>
      <c r="E289" s="27"/>
      <c r="F289" s="27"/>
      <c r="G289" s="25"/>
      <c r="H289" s="26"/>
    </row>
    <row r="290" spans="1:8" ht="12.75" customHeight="1">
      <c r="A290" s="23">
        <v>42632</v>
      </c>
      <c r="B290" s="23"/>
      <c r="C290" s="28">
        <f>ROUND(10.879892139815,4)</f>
        <v>10.8799</v>
      </c>
      <c r="D290" s="28">
        <f>F290</f>
        <v>10.9973</v>
      </c>
      <c r="E290" s="28">
        <f>F290</f>
        <v>10.9973</v>
      </c>
      <c r="F290" s="28">
        <f>ROUND(10.9973,4)</f>
        <v>10.9973</v>
      </c>
      <c r="G290" s="25"/>
      <c r="H290" s="26"/>
    </row>
    <row r="291" spans="1:8" ht="12.75" customHeight="1">
      <c r="A291" s="23">
        <v>42723</v>
      </c>
      <c r="B291" s="23"/>
      <c r="C291" s="28">
        <f>ROUND(10.879892139815,4)</f>
        <v>10.8799</v>
      </c>
      <c r="D291" s="28">
        <f>F291</f>
        <v>11.1944</v>
      </c>
      <c r="E291" s="28">
        <f>F291</f>
        <v>11.1944</v>
      </c>
      <c r="F291" s="28">
        <f>ROUND(11.1944,4)</f>
        <v>11.1944</v>
      </c>
      <c r="G291" s="25"/>
      <c r="H291" s="26"/>
    </row>
    <row r="292" spans="1:8" ht="12.75" customHeight="1">
      <c r="A292" s="23">
        <v>42807</v>
      </c>
      <c r="B292" s="23"/>
      <c r="C292" s="28">
        <f>ROUND(10.879892139815,4)</f>
        <v>10.8799</v>
      </c>
      <c r="D292" s="28">
        <f>F292</f>
        <v>11.3795</v>
      </c>
      <c r="E292" s="28">
        <f>F292</f>
        <v>11.3795</v>
      </c>
      <c r="F292" s="28">
        <f>ROUND(11.3795,4)</f>
        <v>11.3795</v>
      </c>
      <c r="G292" s="25"/>
      <c r="H292" s="26"/>
    </row>
    <row r="293" spans="1:8" ht="12.75" customHeight="1">
      <c r="A293" s="23">
        <v>42905</v>
      </c>
      <c r="B293" s="23"/>
      <c r="C293" s="28">
        <f>ROUND(10.879892139815,4)</f>
        <v>10.8799</v>
      </c>
      <c r="D293" s="28">
        <f>F293</f>
        <v>11.6004</v>
      </c>
      <c r="E293" s="28">
        <f>F293</f>
        <v>11.6004</v>
      </c>
      <c r="F293" s="28">
        <f>ROUND(11.6004,4)</f>
        <v>11.6004</v>
      </c>
      <c r="G293" s="25"/>
      <c r="H293" s="26"/>
    </row>
    <row r="294" spans="1:8" ht="12.75" customHeight="1">
      <c r="A294" s="23" t="s">
        <v>68</v>
      </c>
      <c r="B294" s="23"/>
      <c r="C294" s="27"/>
      <c r="D294" s="27"/>
      <c r="E294" s="27"/>
      <c r="F294" s="27"/>
      <c r="G294" s="25"/>
      <c r="H294" s="26"/>
    </row>
    <row r="295" spans="1:8" ht="12.75" customHeight="1">
      <c r="A295" s="23">
        <v>42632</v>
      </c>
      <c r="B295" s="23"/>
      <c r="C295" s="28">
        <f>ROUND(2.17409112652475,4)</f>
        <v>2.1741</v>
      </c>
      <c r="D295" s="28">
        <f>F295</f>
        <v>2.1689</v>
      </c>
      <c r="E295" s="28">
        <f>F295</f>
        <v>2.1689</v>
      </c>
      <c r="F295" s="28">
        <f>ROUND(2.1689,4)</f>
        <v>2.1689</v>
      </c>
      <c r="G295" s="25"/>
      <c r="H295" s="26"/>
    </row>
    <row r="296" spans="1:8" ht="12.75" customHeight="1">
      <c r="A296" s="23">
        <v>42723</v>
      </c>
      <c r="B296" s="23"/>
      <c r="C296" s="28">
        <f>ROUND(2.17409112652475,4)</f>
        <v>2.1741</v>
      </c>
      <c r="D296" s="28">
        <f>F296</f>
        <v>2.1968</v>
      </c>
      <c r="E296" s="28">
        <f>F296</f>
        <v>2.1968</v>
      </c>
      <c r="F296" s="28">
        <f>ROUND(2.1968,4)</f>
        <v>2.1968</v>
      </c>
      <c r="G296" s="25"/>
      <c r="H296" s="26"/>
    </row>
    <row r="297" spans="1:8" ht="12.75" customHeight="1">
      <c r="A297" s="23">
        <v>42807</v>
      </c>
      <c r="B297" s="23"/>
      <c r="C297" s="28">
        <f>ROUND(2.17409112652475,4)</f>
        <v>2.1741</v>
      </c>
      <c r="D297" s="28">
        <f>F297</f>
        <v>2.2219</v>
      </c>
      <c r="E297" s="28">
        <f>F297</f>
        <v>2.2219</v>
      </c>
      <c r="F297" s="28">
        <f>ROUND(2.2219,4)</f>
        <v>2.2219</v>
      </c>
      <c r="G297" s="25"/>
      <c r="H297" s="26"/>
    </row>
    <row r="298" spans="1:8" ht="12.75" customHeight="1">
      <c r="A298" s="23">
        <v>42905</v>
      </c>
      <c r="B298" s="23"/>
      <c r="C298" s="28">
        <f>ROUND(2.17409112652475,4)</f>
        <v>2.1741</v>
      </c>
      <c r="D298" s="28">
        <f>F298</f>
        <v>2.2506</v>
      </c>
      <c r="E298" s="28">
        <f>F298</f>
        <v>2.2506</v>
      </c>
      <c r="F298" s="28">
        <f>ROUND(2.2506,4)</f>
        <v>2.2506</v>
      </c>
      <c r="G298" s="25"/>
      <c r="H298" s="26"/>
    </row>
    <row r="299" spans="1:8" ht="12.75" customHeight="1">
      <c r="A299" s="23" t="s">
        <v>69</v>
      </c>
      <c r="B299" s="23"/>
      <c r="C299" s="27"/>
      <c r="D299" s="27"/>
      <c r="E299" s="27"/>
      <c r="F299" s="27"/>
      <c r="G299" s="25"/>
      <c r="H299" s="26"/>
    </row>
    <row r="300" spans="1:8" ht="12.75" customHeight="1">
      <c r="A300" s="23">
        <v>42632</v>
      </c>
      <c r="B300" s="23"/>
      <c r="C300" s="28">
        <f>ROUND(2.1226044032764,4)</f>
        <v>2.1226</v>
      </c>
      <c r="D300" s="28">
        <f>F300</f>
        <v>2.1519</v>
      </c>
      <c r="E300" s="28">
        <f>F300</f>
        <v>2.1519</v>
      </c>
      <c r="F300" s="28">
        <f>ROUND(2.1519,4)</f>
        <v>2.1519</v>
      </c>
      <c r="G300" s="25"/>
      <c r="H300" s="26"/>
    </row>
    <row r="301" spans="1:8" ht="12.75" customHeight="1">
      <c r="A301" s="23">
        <v>42723</v>
      </c>
      <c r="B301" s="23"/>
      <c r="C301" s="28">
        <f>ROUND(2.1226044032764,4)</f>
        <v>2.1226</v>
      </c>
      <c r="D301" s="28">
        <f>F301</f>
        <v>2.1993</v>
      </c>
      <c r="E301" s="28">
        <f>F301</f>
        <v>2.1993</v>
      </c>
      <c r="F301" s="28">
        <f>ROUND(2.1993,4)</f>
        <v>2.1993</v>
      </c>
      <c r="G301" s="25"/>
      <c r="H301" s="26"/>
    </row>
    <row r="302" spans="1:8" ht="12.75" customHeight="1">
      <c r="A302" s="23">
        <v>42807</v>
      </c>
      <c r="B302" s="23"/>
      <c r="C302" s="28">
        <f>ROUND(2.1226044032764,4)</f>
        <v>2.1226</v>
      </c>
      <c r="D302" s="28">
        <f>F302</f>
        <v>2.2441</v>
      </c>
      <c r="E302" s="28">
        <f>F302</f>
        <v>2.2441</v>
      </c>
      <c r="F302" s="28">
        <f>ROUND(2.2441,4)</f>
        <v>2.2441</v>
      </c>
      <c r="G302" s="25"/>
      <c r="H302" s="26"/>
    </row>
    <row r="303" spans="1:8" ht="12.75" customHeight="1">
      <c r="A303" s="23">
        <v>42905</v>
      </c>
      <c r="B303" s="23"/>
      <c r="C303" s="28">
        <f>ROUND(2.1226044032764,4)</f>
        <v>2.1226</v>
      </c>
      <c r="D303" s="28">
        <f>F303</f>
        <v>2.2983</v>
      </c>
      <c r="E303" s="28">
        <f>F303</f>
        <v>2.2983</v>
      </c>
      <c r="F303" s="28">
        <f>ROUND(2.2983,4)</f>
        <v>2.2983</v>
      </c>
      <c r="G303" s="25"/>
      <c r="H303" s="26"/>
    </row>
    <row r="304" spans="1:8" ht="12.75" customHeight="1">
      <c r="A304" s="23" t="s">
        <v>70</v>
      </c>
      <c r="B304" s="23"/>
      <c r="C304" s="27"/>
      <c r="D304" s="27"/>
      <c r="E304" s="27"/>
      <c r="F304" s="27"/>
      <c r="G304" s="25"/>
      <c r="H304" s="26"/>
    </row>
    <row r="305" spans="1:8" ht="12.75" customHeight="1">
      <c r="A305" s="23">
        <v>42632</v>
      </c>
      <c r="B305" s="23"/>
      <c r="C305" s="28">
        <f>ROUND(15.7986166041667,4)</f>
        <v>15.7986</v>
      </c>
      <c r="D305" s="28">
        <f>F305</f>
        <v>16.0007</v>
      </c>
      <c r="E305" s="28">
        <f>F305</f>
        <v>16.0007</v>
      </c>
      <c r="F305" s="28">
        <f>ROUND(16.0007,4)</f>
        <v>16.0007</v>
      </c>
      <c r="G305" s="25"/>
      <c r="H305" s="26"/>
    </row>
    <row r="306" spans="1:8" ht="12.75" customHeight="1">
      <c r="A306" s="23">
        <v>42723</v>
      </c>
      <c r="B306" s="23"/>
      <c r="C306" s="28">
        <f>ROUND(15.7986166041667,4)</f>
        <v>15.7986</v>
      </c>
      <c r="D306" s="28">
        <f>F306</f>
        <v>16.3475</v>
      </c>
      <c r="E306" s="28">
        <f>F306</f>
        <v>16.3475</v>
      </c>
      <c r="F306" s="28">
        <f>ROUND(16.3475,4)</f>
        <v>16.3475</v>
      </c>
      <c r="G306" s="25"/>
      <c r="H306" s="26"/>
    </row>
    <row r="307" spans="1:8" ht="12.75" customHeight="1">
      <c r="A307" s="23">
        <v>42807</v>
      </c>
      <c r="B307" s="23"/>
      <c r="C307" s="28">
        <f>ROUND(15.7986166041667,4)</f>
        <v>15.7986</v>
      </c>
      <c r="D307" s="28">
        <f>F307</f>
        <v>16.6788</v>
      </c>
      <c r="E307" s="28">
        <f>F307</f>
        <v>16.6788</v>
      </c>
      <c r="F307" s="28">
        <f>ROUND(16.6788,4)</f>
        <v>16.6788</v>
      </c>
      <c r="G307" s="25"/>
      <c r="H307" s="26"/>
    </row>
    <row r="308" spans="1:8" ht="12.75" customHeight="1">
      <c r="A308" s="23">
        <v>42905</v>
      </c>
      <c r="B308" s="23"/>
      <c r="C308" s="28">
        <f>ROUND(15.7986166041667,4)</f>
        <v>15.7986</v>
      </c>
      <c r="D308" s="28">
        <f>F308</f>
        <v>17.0723</v>
      </c>
      <c r="E308" s="28">
        <f>F308</f>
        <v>17.0723</v>
      </c>
      <c r="F308" s="28">
        <f>ROUND(17.0723,4)</f>
        <v>17.0723</v>
      </c>
      <c r="G308" s="25"/>
      <c r="H308" s="26"/>
    </row>
    <row r="309" spans="1:8" ht="12.75" customHeight="1">
      <c r="A309" s="23">
        <v>42996</v>
      </c>
      <c r="B309" s="23"/>
      <c r="C309" s="28">
        <f>ROUND(15.7986166041667,4)</f>
        <v>15.7986</v>
      </c>
      <c r="D309" s="28">
        <f>F309</f>
        <v>17.2764</v>
      </c>
      <c r="E309" s="28">
        <f>F309</f>
        <v>17.2764</v>
      </c>
      <c r="F309" s="28">
        <f>ROUND(17.2764,4)</f>
        <v>17.2764</v>
      </c>
      <c r="G309" s="25"/>
      <c r="H309" s="26"/>
    </row>
    <row r="310" spans="1:8" ht="12.75" customHeight="1">
      <c r="A310" s="23">
        <v>43087</v>
      </c>
      <c r="B310" s="23"/>
      <c r="C310" s="28">
        <f>ROUND(15.7986166041667,4)</f>
        <v>15.7986</v>
      </c>
      <c r="D310" s="28">
        <f>F310</f>
        <v>17.4019</v>
      </c>
      <c r="E310" s="28">
        <f>F310</f>
        <v>17.4019</v>
      </c>
      <c r="F310" s="28">
        <f>ROUND(17.4019,4)</f>
        <v>17.4019</v>
      </c>
      <c r="G310" s="25"/>
      <c r="H310" s="26"/>
    </row>
    <row r="311" spans="1:8" ht="12.75" customHeight="1">
      <c r="A311" s="23">
        <v>43178</v>
      </c>
      <c r="B311" s="23"/>
      <c r="C311" s="28">
        <f>ROUND(15.7986166041667,4)</f>
        <v>15.7986</v>
      </c>
      <c r="D311" s="28">
        <f>F311</f>
        <v>17.5619</v>
      </c>
      <c r="E311" s="28">
        <f>F311</f>
        <v>17.5619</v>
      </c>
      <c r="F311" s="28">
        <f>ROUND(17.5619,4)</f>
        <v>17.5619</v>
      </c>
      <c r="G311" s="25"/>
      <c r="H311" s="26"/>
    </row>
    <row r="312" spans="1:8" ht="12.75" customHeight="1">
      <c r="A312" s="23" t="s">
        <v>71</v>
      </c>
      <c r="B312" s="23"/>
      <c r="C312" s="27"/>
      <c r="D312" s="27"/>
      <c r="E312" s="27"/>
      <c r="F312" s="27"/>
      <c r="G312" s="25"/>
      <c r="H312" s="26"/>
    </row>
    <row r="313" spans="1:8" ht="12.75" customHeight="1">
      <c r="A313" s="23">
        <v>42632</v>
      </c>
      <c r="B313" s="23"/>
      <c r="C313" s="28">
        <f>ROUND(14.5766860808644,4)</f>
        <v>14.5767</v>
      </c>
      <c r="D313" s="28">
        <f>F313</f>
        <v>14.7724</v>
      </c>
      <c r="E313" s="28">
        <f>F313</f>
        <v>14.7724</v>
      </c>
      <c r="F313" s="28">
        <f>ROUND(14.7724,4)</f>
        <v>14.7724</v>
      </c>
      <c r="G313" s="25"/>
      <c r="H313" s="26"/>
    </row>
    <row r="314" spans="1:8" ht="12.75" customHeight="1">
      <c r="A314" s="23">
        <v>42723</v>
      </c>
      <c r="B314" s="23"/>
      <c r="C314" s="28">
        <f>ROUND(14.5766860808644,4)</f>
        <v>14.5767</v>
      </c>
      <c r="D314" s="28">
        <f>F314</f>
        <v>15.1093</v>
      </c>
      <c r="E314" s="28">
        <f>F314</f>
        <v>15.1093</v>
      </c>
      <c r="F314" s="28">
        <f>ROUND(15.1093,4)</f>
        <v>15.1093</v>
      </c>
      <c r="G314" s="25"/>
      <c r="H314" s="26"/>
    </row>
    <row r="315" spans="1:8" ht="12.75" customHeight="1">
      <c r="A315" s="23">
        <v>42807</v>
      </c>
      <c r="B315" s="23"/>
      <c r="C315" s="28">
        <f>ROUND(14.5766860808644,4)</f>
        <v>14.5767</v>
      </c>
      <c r="D315" s="28">
        <f>F315</f>
        <v>15.4349</v>
      </c>
      <c r="E315" s="28">
        <f>F315</f>
        <v>15.4349</v>
      </c>
      <c r="F315" s="28">
        <f>ROUND(15.4349,4)</f>
        <v>15.4349</v>
      </c>
      <c r="G315" s="25"/>
      <c r="H315" s="26"/>
    </row>
    <row r="316" spans="1:8" ht="12.75" customHeight="1">
      <c r="A316" s="23">
        <v>42905</v>
      </c>
      <c r="B316" s="23"/>
      <c r="C316" s="28">
        <f>ROUND(14.5766860808644,4)</f>
        <v>14.5767</v>
      </c>
      <c r="D316" s="28">
        <f>F316</f>
        <v>15.8198</v>
      </c>
      <c r="E316" s="28">
        <f>F316</f>
        <v>15.8198</v>
      </c>
      <c r="F316" s="28">
        <f>ROUND(15.8198,4)</f>
        <v>15.8198</v>
      </c>
      <c r="G316" s="25"/>
      <c r="H316" s="26"/>
    </row>
    <row r="317" spans="1:8" ht="12.75" customHeight="1">
      <c r="A317" s="23">
        <v>42996</v>
      </c>
      <c r="B317" s="23"/>
      <c r="C317" s="28">
        <f>ROUND(14.5766860808644,4)</f>
        <v>14.5767</v>
      </c>
      <c r="D317" s="28">
        <f>F317</f>
        <v>16.0245</v>
      </c>
      <c r="E317" s="28">
        <f>F317</f>
        <v>16.0245</v>
      </c>
      <c r="F317" s="28">
        <f>ROUND(16.0245,4)</f>
        <v>16.0245</v>
      </c>
      <c r="G317" s="25"/>
      <c r="H317" s="26"/>
    </row>
    <row r="318" spans="1:8" ht="12.75" customHeight="1">
      <c r="A318" s="23" t="s">
        <v>72</v>
      </c>
      <c r="B318" s="23"/>
      <c r="C318" s="27"/>
      <c r="D318" s="27"/>
      <c r="E318" s="27"/>
      <c r="F318" s="27"/>
      <c r="G318" s="25"/>
      <c r="H318" s="26"/>
    </row>
    <row r="319" spans="1:8" ht="12.75" customHeight="1">
      <c r="A319" s="23">
        <v>42632</v>
      </c>
      <c r="B319" s="23"/>
      <c r="C319" s="28">
        <f>ROUND(18.8796220666667,4)</f>
        <v>18.8796</v>
      </c>
      <c r="D319" s="28">
        <f>F319</f>
        <v>19.0939</v>
      </c>
      <c r="E319" s="28">
        <f>F319</f>
        <v>19.0939</v>
      </c>
      <c r="F319" s="28">
        <f>ROUND(19.0939,4)</f>
        <v>19.0939</v>
      </c>
      <c r="G319" s="25"/>
      <c r="H319" s="26"/>
    </row>
    <row r="320" spans="1:8" ht="12.75" customHeight="1">
      <c r="A320" s="23">
        <v>42723</v>
      </c>
      <c r="B320" s="23"/>
      <c r="C320" s="28">
        <f>ROUND(18.8796220666667,4)</f>
        <v>18.8796</v>
      </c>
      <c r="D320" s="28">
        <f>F320</f>
        <v>19.4609</v>
      </c>
      <c r="E320" s="28">
        <f>F320</f>
        <v>19.4609</v>
      </c>
      <c r="F320" s="28">
        <f>ROUND(19.4609,4)</f>
        <v>19.4609</v>
      </c>
      <c r="G320" s="25"/>
      <c r="H320" s="26"/>
    </row>
    <row r="321" spans="1:8" ht="12.75" customHeight="1">
      <c r="A321" s="23">
        <v>42807</v>
      </c>
      <c r="B321" s="23"/>
      <c r="C321" s="28">
        <f>ROUND(18.8796220666667,4)</f>
        <v>18.8796</v>
      </c>
      <c r="D321" s="28">
        <f>F321</f>
        <v>19.8103</v>
      </c>
      <c r="E321" s="28">
        <f>F321</f>
        <v>19.8103</v>
      </c>
      <c r="F321" s="28">
        <f>ROUND(19.8103,4)</f>
        <v>19.8103</v>
      </c>
      <c r="G321" s="25"/>
      <c r="H321" s="26"/>
    </row>
    <row r="322" spans="1:8" ht="12.75" customHeight="1">
      <c r="A322" s="23">
        <v>42905</v>
      </c>
      <c r="B322" s="23"/>
      <c r="C322" s="28">
        <f>ROUND(18.8796220666667,4)</f>
        <v>18.8796</v>
      </c>
      <c r="D322" s="28">
        <f>F322</f>
        <v>20.2281</v>
      </c>
      <c r="E322" s="28">
        <f>F322</f>
        <v>20.2281</v>
      </c>
      <c r="F322" s="28">
        <f>ROUND(20.2281,4)</f>
        <v>20.2281</v>
      </c>
      <c r="G322" s="25"/>
      <c r="H322" s="26"/>
    </row>
    <row r="323" spans="1:8" ht="12.75" customHeight="1">
      <c r="A323" s="23">
        <v>42996</v>
      </c>
      <c r="B323" s="23"/>
      <c r="C323" s="28">
        <f>ROUND(18.8796220666667,4)</f>
        <v>18.8796</v>
      </c>
      <c r="D323" s="28">
        <f>F323</f>
        <v>20.4489</v>
      </c>
      <c r="E323" s="28">
        <f>F323</f>
        <v>20.4489</v>
      </c>
      <c r="F323" s="28">
        <f>ROUND(20.4489,4)</f>
        <v>20.4489</v>
      </c>
      <c r="G323" s="25"/>
      <c r="H323" s="26"/>
    </row>
    <row r="324" spans="1:8" ht="12.75" customHeight="1">
      <c r="A324" s="23">
        <v>43087</v>
      </c>
      <c r="B324" s="23"/>
      <c r="C324" s="28">
        <f>ROUND(18.8796220666667,4)</f>
        <v>18.8796</v>
      </c>
      <c r="D324" s="28">
        <f>F324</f>
        <v>20.5438</v>
      </c>
      <c r="E324" s="28">
        <f>F324</f>
        <v>20.5438</v>
      </c>
      <c r="F324" s="28">
        <f>ROUND(20.5438,4)</f>
        <v>20.5438</v>
      </c>
      <c r="G324" s="25"/>
      <c r="H324" s="26"/>
    </row>
    <row r="325" spans="1:8" ht="12.75" customHeight="1">
      <c r="A325" s="23">
        <v>43178</v>
      </c>
      <c r="B325" s="23"/>
      <c r="C325" s="28">
        <f>ROUND(18.8796220666667,4)</f>
        <v>18.8796</v>
      </c>
      <c r="D325" s="28">
        <f>F325</f>
        <v>20.5923</v>
      </c>
      <c r="E325" s="28">
        <f>F325</f>
        <v>20.5923</v>
      </c>
      <c r="F325" s="28">
        <f>ROUND(20.5923,4)</f>
        <v>20.5923</v>
      </c>
      <c r="G325" s="25"/>
      <c r="H325" s="26"/>
    </row>
    <row r="326" spans="1:8" ht="12.75" customHeight="1">
      <c r="A326" s="23" t="s">
        <v>73</v>
      </c>
      <c r="B326" s="23"/>
      <c r="C326" s="27"/>
      <c r="D326" s="27"/>
      <c r="E326" s="27"/>
      <c r="F326" s="27"/>
      <c r="G326" s="25"/>
      <c r="H326" s="26"/>
    </row>
    <row r="327" spans="1:8" ht="12.75" customHeight="1">
      <c r="A327" s="23">
        <v>42632</v>
      </c>
      <c r="B327" s="23"/>
      <c r="C327" s="28">
        <f>ROUND(1.85522996729793,4)</f>
        <v>1.8552</v>
      </c>
      <c r="D327" s="28">
        <f>F327</f>
        <v>1.8762</v>
      </c>
      <c r="E327" s="28">
        <f>F327</f>
        <v>1.8762</v>
      </c>
      <c r="F327" s="28">
        <f>ROUND(1.8762,4)</f>
        <v>1.8762</v>
      </c>
      <c r="G327" s="25"/>
      <c r="H327" s="26"/>
    </row>
    <row r="328" spans="1:8" ht="12.75" customHeight="1">
      <c r="A328" s="23">
        <v>42723</v>
      </c>
      <c r="B328" s="23"/>
      <c r="C328" s="28">
        <f>ROUND(1.85522996729793,4)</f>
        <v>1.8552</v>
      </c>
      <c r="D328" s="28">
        <f>F328</f>
        <v>1.9109</v>
      </c>
      <c r="E328" s="28">
        <f>F328</f>
        <v>1.9109</v>
      </c>
      <c r="F328" s="28">
        <f>ROUND(1.9109,4)</f>
        <v>1.9109</v>
      </c>
      <c r="G328" s="25"/>
      <c r="H328" s="26"/>
    </row>
    <row r="329" spans="1:8" ht="12.75" customHeight="1">
      <c r="A329" s="23">
        <v>42807</v>
      </c>
      <c r="B329" s="23"/>
      <c r="C329" s="28">
        <f>ROUND(1.85522996729793,4)</f>
        <v>1.8552</v>
      </c>
      <c r="D329" s="28">
        <f>F329</f>
        <v>1.9422</v>
      </c>
      <c r="E329" s="28">
        <f>F329</f>
        <v>1.9422</v>
      </c>
      <c r="F329" s="28">
        <f>ROUND(1.9422,4)</f>
        <v>1.9422</v>
      </c>
      <c r="G329" s="25"/>
      <c r="H329" s="26"/>
    </row>
    <row r="330" spans="1:8" ht="12.75" customHeight="1">
      <c r="A330" s="23">
        <v>42905</v>
      </c>
      <c r="B330" s="23"/>
      <c r="C330" s="28">
        <f>ROUND(1.85522996729793,4)</f>
        <v>1.8552</v>
      </c>
      <c r="D330" s="28">
        <f>F330</f>
        <v>1.9789</v>
      </c>
      <c r="E330" s="28">
        <f>F330</f>
        <v>1.9789</v>
      </c>
      <c r="F330" s="28">
        <f>ROUND(1.9789,4)</f>
        <v>1.9789</v>
      </c>
      <c r="G330" s="25"/>
      <c r="H330" s="26"/>
    </row>
    <row r="331" spans="1:8" ht="12.75" customHeight="1">
      <c r="A331" s="23" t="s">
        <v>74</v>
      </c>
      <c r="B331" s="23"/>
      <c r="C331" s="27"/>
      <c r="D331" s="27"/>
      <c r="E331" s="27"/>
      <c r="F331" s="27"/>
      <c r="G331" s="25"/>
      <c r="H331" s="26"/>
    </row>
    <row r="332" spans="1:8" ht="12.75" customHeight="1">
      <c r="A332" s="23">
        <v>42632</v>
      </c>
      <c r="B332" s="23"/>
      <c r="C332" s="30">
        <f>ROUND(0.135649004567716,6)</f>
        <v>0.135649</v>
      </c>
      <c r="D332" s="30">
        <f>F332</f>
        <v>0.137365</v>
      </c>
      <c r="E332" s="30">
        <f>F332</f>
        <v>0.137365</v>
      </c>
      <c r="F332" s="30">
        <f>ROUND(0.137365,6)</f>
        <v>0.137365</v>
      </c>
      <c r="G332" s="25"/>
      <c r="H332" s="26"/>
    </row>
    <row r="333" spans="1:8" ht="12.75" customHeight="1">
      <c r="A333" s="23">
        <v>42723</v>
      </c>
      <c r="B333" s="23"/>
      <c r="C333" s="30">
        <f>ROUND(0.135649004567716,6)</f>
        <v>0.135649</v>
      </c>
      <c r="D333" s="30">
        <f>F333</f>
        <v>0.140327</v>
      </c>
      <c r="E333" s="30">
        <f>F333</f>
        <v>0.140327</v>
      </c>
      <c r="F333" s="30">
        <f>ROUND(0.140327,6)</f>
        <v>0.140327</v>
      </c>
      <c r="G333" s="25"/>
      <c r="H333" s="26"/>
    </row>
    <row r="334" spans="1:8" ht="12.75" customHeight="1">
      <c r="A334" s="23">
        <v>42807</v>
      </c>
      <c r="B334" s="23"/>
      <c r="C334" s="30">
        <f>ROUND(0.135649004567716,6)</f>
        <v>0.135649</v>
      </c>
      <c r="D334" s="30">
        <f>F334</f>
        <v>0.143218</v>
      </c>
      <c r="E334" s="30">
        <f>F334</f>
        <v>0.143218</v>
      </c>
      <c r="F334" s="30">
        <f>ROUND(0.143218,6)</f>
        <v>0.143218</v>
      </c>
      <c r="G334" s="25"/>
      <c r="H334" s="26"/>
    </row>
    <row r="335" spans="1:8" ht="12.75" customHeight="1">
      <c r="A335" s="23">
        <v>42905</v>
      </c>
      <c r="B335" s="23"/>
      <c r="C335" s="30">
        <f>ROUND(0.135649004567716,6)</f>
        <v>0.135649</v>
      </c>
      <c r="D335" s="30">
        <f>F335</f>
        <v>0.146653</v>
      </c>
      <c r="E335" s="30">
        <f>F335</f>
        <v>0.146653</v>
      </c>
      <c r="F335" s="30">
        <f>ROUND(0.146653,6)</f>
        <v>0.146653</v>
      </c>
      <c r="G335" s="25"/>
      <c r="H335" s="26"/>
    </row>
    <row r="336" spans="1:8" ht="12.75" customHeight="1">
      <c r="A336" s="23">
        <v>42996</v>
      </c>
      <c r="B336" s="23"/>
      <c r="C336" s="30">
        <f>ROUND(0.135649004567716,6)</f>
        <v>0.135649</v>
      </c>
      <c r="D336" s="30">
        <f>F336</f>
        <v>0.148686</v>
      </c>
      <c r="E336" s="30">
        <f>F336</f>
        <v>0.148686</v>
      </c>
      <c r="F336" s="30">
        <f>ROUND(0.148686,6)</f>
        <v>0.148686</v>
      </c>
      <c r="G336" s="25"/>
      <c r="H336" s="26"/>
    </row>
    <row r="337" spans="1:8" ht="12.75" customHeight="1">
      <c r="A337" s="23" t="s">
        <v>75</v>
      </c>
      <c r="B337" s="23"/>
      <c r="C337" s="27"/>
      <c r="D337" s="27"/>
      <c r="E337" s="27"/>
      <c r="F337" s="27"/>
      <c r="G337" s="25"/>
      <c r="H337" s="26"/>
    </row>
    <row r="338" spans="1:8" ht="12.75" customHeight="1">
      <c r="A338" s="23">
        <v>42632</v>
      </c>
      <c r="B338" s="23"/>
      <c r="C338" s="28">
        <f>ROUND(0.141767641940039,4)</f>
        <v>0.1418</v>
      </c>
      <c r="D338" s="28">
        <f>F338</f>
        <v>0.1421</v>
      </c>
      <c r="E338" s="28">
        <f>F338</f>
        <v>0.1421</v>
      </c>
      <c r="F338" s="28">
        <f>ROUND(0.1421,4)</f>
        <v>0.1421</v>
      </c>
      <c r="G338" s="25"/>
      <c r="H338" s="26"/>
    </row>
    <row r="339" spans="1:8" ht="12.75" customHeight="1">
      <c r="A339" s="23">
        <v>42723</v>
      </c>
      <c r="B339" s="23"/>
      <c r="C339" s="28">
        <f>ROUND(0.141767641940039,4)</f>
        <v>0.1418</v>
      </c>
      <c r="D339" s="28">
        <f>F339</f>
        <v>0.1422</v>
      </c>
      <c r="E339" s="28">
        <f>F339</f>
        <v>0.1422</v>
      </c>
      <c r="F339" s="28">
        <f>ROUND(0.1422,4)</f>
        <v>0.1422</v>
      </c>
      <c r="G339" s="25"/>
      <c r="H339" s="26"/>
    </row>
    <row r="340" spans="1:8" ht="12.75" customHeight="1">
      <c r="A340" s="23">
        <v>42807</v>
      </c>
      <c r="B340" s="23"/>
      <c r="C340" s="28">
        <f>ROUND(0.141767641940039,4)</f>
        <v>0.1418</v>
      </c>
      <c r="D340" s="28">
        <f>F340</f>
        <v>0.1423</v>
      </c>
      <c r="E340" s="28">
        <f>F340</f>
        <v>0.1423</v>
      </c>
      <c r="F340" s="28">
        <f>ROUND(0.1423,4)</f>
        <v>0.1423</v>
      </c>
      <c r="G340" s="25"/>
      <c r="H340" s="26"/>
    </row>
    <row r="341" spans="1:8" ht="12.75" customHeight="1">
      <c r="A341" s="23">
        <v>42905</v>
      </c>
      <c r="B341" s="23"/>
      <c r="C341" s="28">
        <f>ROUND(0.141767641940039,4)</f>
        <v>0.1418</v>
      </c>
      <c r="D341" s="28">
        <f>F341</f>
        <v>0.1428</v>
      </c>
      <c r="E341" s="28">
        <f>F341</f>
        <v>0.1428</v>
      </c>
      <c r="F341" s="28">
        <f>ROUND(0.1428,4)</f>
        <v>0.1428</v>
      </c>
      <c r="G341" s="25"/>
      <c r="H341" s="26"/>
    </row>
    <row r="342" spans="1:8" ht="12.75" customHeight="1">
      <c r="A342" s="23" t="s">
        <v>76</v>
      </c>
      <c r="B342" s="23"/>
      <c r="C342" s="27"/>
      <c r="D342" s="27"/>
      <c r="E342" s="27"/>
      <c r="F342" s="27"/>
      <c r="G342" s="25"/>
      <c r="H342" s="26"/>
    </row>
    <row r="343" spans="1:8" ht="12.75" customHeight="1">
      <c r="A343" s="23">
        <v>42632</v>
      </c>
      <c r="B343" s="23"/>
      <c r="C343" s="28">
        <f>ROUND(0.072297580172486,4)</f>
        <v>0.0723</v>
      </c>
      <c r="D343" s="28">
        <f>F343</f>
        <v>0.0431</v>
      </c>
      <c r="E343" s="28">
        <f>F343</f>
        <v>0.0431</v>
      </c>
      <c r="F343" s="28">
        <f>ROUND(0.0431,4)</f>
        <v>0.0431</v>
      </c>
      <c r="G343" s="25"/>
      <c r="H343" s="26"/>
    </row>
    <row r="344" spans="1:8" ht="12.75" customHeight="1">
      <c r="A344" s="23">
        <v>42723</v>
      </c>
      <c r="B344" s="23"/>
      <c r="C344" s="28">
        <f>ROUND(0.072297580172486,4)</f>
        <v>0.0723</v>
      </c>
      <c r="D344" s="28">
        <f>F344</f>
        <v>0.0423</v>
      </c>
      <c r="E344" s="28">
        <f>F344</f>
        <v>0.0423</v>
      </c>
      <c r="F344" s="28">
        <f>ROUND(0.0423,4)</f>
        <v>0.0423</v>
      </c>
      <c r="G344" s="25"/>
      <c r="H344" s="26"/>
    </row>
    <row r="345" spans="1:8" ht="12.75" customHeight="1">
      <c r="A345" s="23">
        <v>42807</v>
      </c>
      <c r="B345" s="23"/>
      <c r="C345" s="28">
        <f>ROUND(0.072297580172486,4)</f>
        <v>0.0723</v>
      </c>
      <c r="D345" s="28">
        <f>F345</f>
        <v>0.042</v>
      </c>
      <c r="E345" s="28">
        <f>F345</f>
        <v>0.042</v>
      </c>
      <c r="F345" s="28">
        <f>ROUND(0.042,4)</f>
        <v>0.042</v>
      </c>
      <c r="G345" s="25"/>
      <c r="H345" s="26"/>
    </row>
    <row r="346" spans="1:8" ht="12.75" customHeight="1">
      <c r="A346" s="23">
        <v>42905</v>
      </c>
      <c r="B346" s="23"/>
      <c r="C346" s="28">
        <f>ROUND(0.072297580172486,4)</f>
        <v>0.0723</v>
      </c>
      <c r="D346" s="28">
        <f>F346</f>
        <v>0.0415</v>
      </c>
      <c r="E346" s="28">
        <f>F346</f>
        <v>0.0415</v>
      </c>
      <c r="F346" s="28">
        <f>ROUND(0.0415,4)</f>
        <v>0.0415</v>
      </c>
      <c r="G346" s="25"/>
      <c r="H346" s="26"/>
    </row>
    <row r="347" spans="1:8" ht="12.75" customHeight="1">
      <c r="A347" s="23">
        <v>42996</v>
      </c>
      <c r="B347" s="23"/>
      <c r="C347" s="28">
        <f>ROUND(0.072297580172486,4)</f>
        <v>0.0723</v>
      </c>
      <c r="D347" s="28">
        <f>F347</f>
        <v>0.0407</v>
      </c>
      <c r="E347" s="28">
        <f>F347</f>
        <v>0.0407</v>
      </c>
      <c r="F347" s="28">
        <f>ROUND(0.0407,4)</f>
        <v>0.0407</v>
      </c>
      <c r="G347" s="25"/>
      <c r="H347" s="26"/>
    </row>
    <row r="348" spans="1:8" ht="12.75" customHeight="1">
      <c r="A348" s="23" t="s">
        <v>77</v>
      </c>
      <c r="B348" s="23"/>
      <c r="C348" s="27"/>
      <c r="D348" s="27"/>
      <c r="E348" s="27"/>
      <c r="F348" s="27"/>
      <c r="G348" s="25"/>
      <c r="H348" s="26"/>
    </row>
    <row r="349" spans="1:8" ht="12.75" customHeight="1">
      <c r="A349" s="23">
        <v>42632</v>
      </c>
      <c r="B349" s="23"/>
      <c r="C349" s="28">
        <f>ROUND(10.0404844166667,4)</f>
        <v>10.0405</v>
      </c>
      <c r="D349" s="28">
        <f>F349</f>
        <v>10.1213</v>
      </c>
      <c r="E349" s="28">
        <f>F349</f>
        <v>10.1213</v>
      </c>
      <c r="F349" s="28">
        <f>ROUND(10.1213,4)</f>
        <v>10.1213</v>
      </c>
      <c r="G349" s="25"/>
      <c r="H349" s="26"/>
    </row>
    <row r="350" spans="1:8" ht="12.75" customHeight="1">
      <c r="A350" s="23">
        <v>42723</v>
      </c>
      <c r="B350" s="23"/>
      <c r="C350" s="28">
        <f>ROUND(10.0404844166667,4)</f>
        <v>10.0405</v>
      </c>
      <c r="D350" s="28">
        <f>F350</f>
        <v>10.2625</v>
      </c>
      <c r="E350" s="28">
        <f>F350</f>
        <v>10.2625</v>
      </c>
      <c r="F350" s="28">
        <f>ROUND(10.2625,4)</f>
        <v>10.2625</v>
      </c>
      <c r="G350" s="25"/>
      <c r="H350" s="26"/>
    </row>
    <row r="351" spans="1:8" ht="12.75" customHeight="1">
      <c r="A351" s="23">
        <v>42807</v>
      </c>
      <c r="B351" s="23"/>
      <c r="C351" s="28">
        <f>ROUND(10.0404844166667,4)</f>
        <v>10.0405</v>
      </c>
      <c r="D351" s="28">
        <f>F351</f>
        <v>10.3975</v>
      </c>
      <c r="E351" s="28">
        <f>F351</f>
        <v>10.3975</v>
      </c>
      <c r="F351" s="28">
        <f>ROUND(10.3975,4)</f>
        <v>10.3975</v>
      </c>
      <c r="G351" s="25"/>
      <c r="H351" s="26"/>
    </row>
    <row r="352" spans="1:8" ht="12.75" customHeight="1">
      <c r="A352" s="23">
        <v>42905</v>
      </c>
      <c r="B352" s="23"/>
      <c r="C352" s="28">
        <f>ROUND(10.0404844166667,4)</f>
        <v>10.0405</v>
      </c>
      <c r="D352" s="28">
        <f>F352</f>
        <v>10.5595</v>
      </c>
      <c r="E352" s="28">
        <f>F352</f>
        <v>10.5595</v>
      </c>
      <c r="F352" s="28">
        <f>ROUND(10.5595,4)</f>
        <v>10.5595</v>
      </c>
      <c r="G352" s="25"/>
      <c r="H352" s="26"/>
    </row>
    <row r="353" spans="1:8" ht="12.75" customHeight="1">
      <c r="A353" s="23" t="s">
        <v>78</v>
      </c>
      <c r="B353" s="23"/>
      <c r="C353" s="27"/>
      <c r="D353" s="27"/>
      <c r="E353" s="27"/>
      <c r="F353" s="27"/>
      <c r="G353" s="25"/>
      <c r="H353" s="26"/>
    </row>
    <row r="354" spans="1:8" ht="12.75" customHeight="1">
      <c r="A354" s="23">
        <v>42632</v>
      </c>
      <c r="B354" s="23"/>
      <c r="C354" s="28">
        <f>ROUND(10.5601418699933,4)</f>
        <v>10.5601</v>
      </c>
      <c r="D354" s="28">
        <f>F354</f>
        <v>10.667</v>
      </c>
      <c r="E354" s="28">
        <f>F354</f>
        <v>10.667</v>
      </c>
      <c r="F354" s="28">
        <f>ROUND(10.667,4)</f>
        <v>10.667</v>
      </c>
      <c r="G354" s="25"/>
      <c r="H354" s="26"/>
    </row>
    <row r="355" spans="1:8" ht="12.75" customHeight="1">
      <c r="A355" s="23">
        <v>42723</v>
      </c>
      <c r="B355" s="23"/>
      <c r="C355" s="28">
        <f>ROUND(10.5601418699933,4)</f>
        <v>10.5601</v>
      </c>
      <c r="D355" s="28">
        <f>F355</f>
        <v>10.8475</v>
      </c>
      <c r="E355" s="28">
        <f>F355</f>
        <v>10.8475</v>
      </c>
      <c r="F355" s="28">
        <f>ROUND(10.8475,4)</f>
        <v>10.8475</v>
      </c>
      <c r="G355" s="25"/>
      <c r="H355" s="26"/>
    </row>
    <row r="356" spans="1:8" ht="12.75" customHeight="1">
      <c r="A356" s="23">
        <v>42807</v>
      </c>
      <c r="B356" s="23"/>
      <c r="C356" s="28">
        <f>ROUND(10.5601418699933,4)</f>
        <v>10.5601</v>
      </c>
      <c r="D356" s="28">
        <f>F356</f>
        <v>11.0157</v>
      </c>
      <c r="E356" s="28">
        <f>F356</f>
        <v>11.0157</v>
      </c>
      <c r="F356" s="28">
        <f>ROUND(11.0157,4)</f>
        <v>11.0157</v>
      </c>
      <c r="G356" s="25"/>
      <c r="H356" s="26"/>
    </row>
    <row r="357" spans="1:8" ht="12.75" customHeight="1">
      <c r="A357" s="23">
        <v>42905</v>
      </c>
      <c r="B357" s="23"/>
      <c r="C357" s="28">
        <f>ROUND(10.5601418699933,4)</f>
        <v>10.5601</v>
      </c>
      <c r="D357" s="28">
        <f>F357</f>
        <v>11.2159</v>
      </c>
      <c r="E357" s="28">
        <f>F357</f>
        <v>11.2159</v>
      </c>
      <c r="F357" s="28">
        <f>ROUND(11.2159,4)</f>
        <v>11.2159</v>
      </c>
      <c r="G357" s="25"/>
      <c r="H357" s="26"/>
    </row>
    <row r="358" spans="1:8" ht="12.75" customHeight="1">
      <c r="A358" s="23" t="s">
        <v>79</v>
      </c>
      <c r="B358" s="23"/>
      <c r="C358" s="27"/>
      <c r="D358" s="27"/>
      <c r="E358" s="27"/>
      <c r="F358" s="27"/>
      <c r="G358" s="25"/>
      <c r="H358" s="26"/>
    </row>
    <row r="359" spans="1:8" ht="12.75" customHeight="1">
      <c r="A359" s="23">
        <v>42632</v>
      </c>
      <c r="B359" s="23"/>
      <c r="C359" s="28">
        <f>ROUND(4.73211447612158,4)</f>
        <v>4.7321</v>
      </c>
      <c r="D359" s="28">
        <f>F359</f>
        <v>4.7224</v>
      </c>
      <c r="E359" s="28">
        <f>F359</f>
        <v>4.7224</v>
      </c>
      <c r="F359" s="28">
        <f>ROUND(4.7224,4)</f>
        <v>4.7224</v>
      </c>
      <c r="G359" s="25"/>
      <c r="H359" s="26"/>
    </row>
    <row r="360" spans="1:8" ht="12.75" customHeight="1">
      <c r="A360" s="23">
        <v>42723</v>
      </c>
      <c r="B360" s="23"/>
      <c r="C360" s="28">
        <f>ROUND(4.73211447612158,4)</f>
        <v>4.7321</v>
      </c>
      <c r="D360" s="28">
        <f>F360</f>
        <v>4.703</v>
      </c>
      <c r="E360" s="28">
        <f>F360</f>
        <v>4.703</v>
      </c>
      <c r="F360" s="28">
        <f>ROUND(4.703,4)</f>
        <v>4.703</v>
      </c>
      <c r="G360" s="25"/>
      <c r="H360" s="26"/>
    </row>
    <row r="361" spans="1:8" ht="12.75" customHeight="1">
      <c r="A361" s="23">
        <v>42807</v>
      </c>
      <c r="B361" s="23"/>
      <c r="C361" s="28">
        <f>ROUND(4.73211447612158,4)</f>
        <v>4.7321</v>
      </c>
      <c r="D361" s="28">
        <f>F361</f>
        <v>4.6879</v>
      </c>
      <c r="E361" s="28">
        <f>F361</f>
        <v>4.6879</v>
      </c>
      <c r="F361" s="28">
        <f>ROUND(4.6879,4)</f>
        <v>4.6879</v>
      </c>
      <c r="G361" s="25"/>
      <c r="H361" s="26"/>
    </row>
    <row r="362" spans="1:8" ht="12.75" customHeight="1">
      <c r="A362" s="23" t="s">
        <v>80</v>
      </c>
      <c r="B362" s="23"/>
      <c r="C362" s="27"/>
      <c r="D362" s="27"/>
      <c r="E362" s="27"/>
      <c r="F362" s="27"/>
      <c r="G362" s="25"/>
      <c r="H362" s="26"/>
    </row>
    <row r="363" spans="1:8" ht="12.75" customHeight="1">
      <c r="A363" s="23">
        <v>42632</v>
      </c>
      <c r="B363" s="23"/>
      <c r="C363" s="28">
        <f>ROUND(14.3908333333333,4)</f>
        <v>14.3908</v>
      </c>
      <c r="D363" s="28">
        <f>F363</f>
        <v>14.5438</v>
      </c>
      <c r="E363" s="28">
        <f>F363</f>
        <v>14.5438</v>
      </c>
      <c r="F363" s="28">
        <f>ROUND(14.5438,4)</f>
        <v>14.5438</v>
      </c>
      <c r="G363" s="25"/>
      <c r="H363" s="26"/>
    </row>
    <row r="364" spans="1:8" ht="12.75" customHeight="1">
      <c r="A364" s="23">
        <v>42723</v>
      </c>
      <c r="B364" s="23"/>
      <c r="C364" s="28">
        <f>ROUND(14.3908333333333,4)</f>
        <v>14.3908</v>
      </c>
      <c r="D364" s="28">
        <f>F364</f>
        <v>14.7999</v>
      </c>
      <c r="E364" s="28">
        <f>F364</f>
        <v>14.7999</v>
      </c>
      <c r="F364" s="28">
        <f>ROUND(14.7999,4)</f>
        <v>14.7999</v>
      </c>
      <c r="G364" s="25"/>
      <c r="H364" s="26"/>
    </row>
    <row r="365" spans="1:8" ht="12.75" customHeight="1">
      <c r="A365" s="23">
        <v>42807</v>
      </c>
      <c r="B365" s="23"/>
      <c r="C365" s="28">
        <f>ROUND(14.3908333333333,4)</f>
        <v>14.3908</v>
      </c>
      <c r="D365" s="28">
        <f>F365</f>
        <v>15.0392</v>
      </c>
      <c r="E365" s="28">
        <f>F365</f>
        <v>15.0392</v>
      </c>
      <c r="F365" s="28">
        <f>ROUND(15.0392,4)</f>
        <v>15.0392</v>
      </c>
      <c r="G365" s="25"/>
      <c r="H365" s="26"/>
    </row>
    <row r="366" spans="1:8" ht="12.75" customHeight="1">
      <c r="A366" s="23">
        <v>42905</v>
      </c>
      <c r="B366" s="23"/>
      <c r="C366" s="28">
        <f>ROUND(14.3908333333333,4)</f>
        <v>14.3908</v>
      </c>
      <c r="D366" s="28">
        <f>F366</f>
        <v>15.3233</v>
      </c>
      <c r="E366" s="28">
        <f>F366</f>
        <v>15.3233</v>
      </c>
      <c r="F366" s="28">
        <f>ROUND(15.3233,4)</f>
        <v>15.3233</v>
      </c>
      <c r="G366" s="25"/>
      <c r="H366" s="26"/>
    </row>
    <row r="367" spans="1:8" ht="12.75" customHeight="1">
      <c r="A367" s="23">
        <v>42996</v>
      </c>
      <c r="B367" s="23"/>
      <c r="C367" s="28">
        <f>ROUND(14.3908333333333,4)</f>
        <v>14.3908</v>
      </c>
      <c r="D367" s="28">
        <f>F367</f>
        <v>15.4558</v>
      </c>
      <c r="E367" s="28">
        <f>F367</f>
        <v>15.4558</v>
      </c>
      <c r="F367" s="28">
        <f>ROUND(15.4558,4)</f>
        <v>15.4558</v>
      </c>
      <c r="G367" s="25"/>
      <c r="H367" s="26"/>
    </row>
    <row r="368" spans="1:8" ht="12.75" customHeight="1">
      <c r="A368" s="23" t="s">
        <v>81</v>
      </c>
      <c r="B368" s="23"/>
      <c r="C368" s="27"/>
      <c r="D368" s="27"/>
      <c r="E368" s="27"/>
      <c r="F368" s="27"/>
      <c r="G368" s="25"/>
      <c r="H368" s="26"/>
    </row>
    <row r="369" spans="1:8" ht="12.75" customHeight="1">
      <c r="A369" s="23">
        <v>42632</v>
      </c>
      <c r="B369" s="23"/>
      <c r="C369" s="28">
        <f>ROUND(14.3908333333333,4)</f>
        <v>14.3908</v>
      </c>
      <c r="D369" s="28">
        <f>F369</f>
        <v>14.5438</v>
      </c>
      <c r="E369" s="28">
        <f>F369</f>
        <v>14.5438</v>
      </c>
      <c r="F369" s="28">
        <f>ROUND(14.5438,4)</f>
        <v>14.5438</v>
      </c>
      <c r="G369" s="25"/>
      <c r="H369" s="26"/>
    </row>
    <row r="370" spans="1:8" ht="12.75" customHeight="1">
      <c r="A370" s="23">
        <v>42723</v>
      </c>
      <c r="B370" s="23"/>
      <c r="C370" s="28">
        <f>ROUND(14.3908333333333,4)</f>
        <v>14.3908</v>
      </c>
      <c r="D370" s="28">
        <f>F370</f>
        <v>14.7999</v>
      </c>
      <c r="E370" s="28">
        <f>F370</f>
        <v>14.7999</v>
      </c>
      <c r="F370" s="28">
        <f>ROUND(14.7999,4)</f>
        <v>14.7999</v>
      </c>
      <c r="G370" s="25"/>
      <c r="H370" s="26"/>
    </row>
    <row r="371" spans="1:8" ht="12.75" customHeight="1">
      <c r="A371" s="23">
        <v>42807</v>
      </c>
      <c r="B371" s="23"/>
      <c r="C371" s="28">
        <f>ROUND(14.3908333333333,4)</f>
        <v>14.3908</v>
      </c>
      <c r="D371" s="28">
        <f>F371</f>
        <v>15.0392</v>
      </c>
      <c r="E371" s="28">
        <f>F371</f>
        <v>15.0392</v>
      </c>
      <c r="F371" s="28">
        <f>ROUND(15.0392,4)</f>
        <v>15.0392</v>
      </c>
      <c r="G371" s="25"/>
      <c r="H371" s="26"/>
    </row>
    <row r="372" spans="1:8" ht="12.75" customHeight="1">
      <c r="A372" s="23">
        <v>42905</v>
      </c>
      <c r="B372" s="23"/>
      <c r="C372" s="28">
        <f>ROUND(14.3908333333333,4)</f>
        <v>14.3908</v>
      </c>
      <c r="D372" s="28">
        <f>F372</f>
        <v>15.3233</v>
      </c>
      <c r="E372" s="28">
        <f>F372</f>
        <v>15.3233</v>
      </c>
      <c r="F372" s="28">
        <f>ROUND(15.3233,4)</f>
        <v>15.3233</v>
      </c>
      <c r="G372" s="25"/>
      <c r="H372" s="26"/>
    </row>
    <row r="373" spans="1:8" ht="12.75" customHeight="1">
      <c r="A373" s="23">
        <v>42996</v>
      </c>
      <c r="B373" s="23"/>
      <c r="C373" s="28">
        <f>ROUND(14.3908333333333,4)</f>
        <v>14.3908</v>
      </c>
      <c r="D373" s="28">
        <f>F373</f>
        <v>15.4558</v>
      </c>
      <c r="E373" s="28">
        <f>F373</f>
        <v>15.4558</v>
      </c>
      <c r="F373" s="28">
        <f>ROUND(15.4558,4)</f>
        <v>15.4558</v>
      </c>
      <c r="G373" s="25"/>
      <c r="H373" s="26"/>
    </row>
    <row r="374" spans="1:8" ht="12.75" customHeight="1">
      <c r="A374" s="23">
        <v>43087</v>
      </c>
      <c r="B374" s="23"/>
      <c r="C374" s="28">
        <f>ROUND(14.3908333333333,4)</f>
        <v>14.3908</v>
      </c>
      <c r="D374" s="28">
        <f>F374</f>
        <v>15.4922</v>
      </c>
      <c r="E374" s="28">
        <f>F374</f>
        <v>15.4922</v>
      </c>
      <c r="F374" s="28">
        <f>ROUND(15.4922,4)</f>
        <v>15.4922</v>
      </c>
      <c r="G374" s="25"/>
      <c r="H374" s="26"/>
    </row>
    <row r="375" spans="1:8" ht="12.75" customHeight="1">
      <c r="A375" s="23">
        <v>43175</v>
      </c>
      <c r="B375" s="23"/>
      <c r="C375" s="28">
        <f>ROUND(14.3908333333333,4)</f>
        <v>14.3908</v>
      </c>
      <c r="D375" s="28">
        <f>F375</f>
        <v>17.5004</v>
      </c>
      <c r="E375" s="28">
        <f>F375</f>
        <v>17.5004</v>
      </c>
      <c r="F375" s="28">
        <f>ROUND(17.5004,4)</f>
        <v>17.5004</v>
      </c>
      <c r="G375" s="25"/>
      <c r="H375" s="26"/>
    </row>
    <row r="376" spans="1:8" ht="12.75" customHeight="1">
      <c r="A376" s="23">
        <v>43178</v>
      </c>
      <c r="B376" s="23"/>
      <c r="C376" s="28">
        <f>ROUND(14.3908333333333,4)</f>
        <v>14.3908</v>
      </c>
      <c r="D376" s="28">
        <f>F376</f>
        <v>15.5286</v>
      </c>
      <c r="E376" s="28">
        <f>F376</f>
        <v>15.5286</v>
      </c>
      <c r="F376" s="28">
        <f>ROUND(15.5286,4)</f>
        <v>15.5286</v>
      </c>
      <c r="G376" s="25"/>
      <c r="H376" s="26"/>
    </row>
    <row r="377" spans="1:8" ht="12.75" customHeight="1">
      <c r="A377" s="23">
        <v>43269</v>
      </c>
      <c r="B377" s="23"/>
      <c r="C377" s="28">
        <f>ROUND(14.3908333333333,4)</f>
        <v>14.3908</v>
      </c>
      <c r="D377" s="28">
        <f>F377</f>
        <v>15.5651</v>
      </c>
      <c r="E377" s="28">
        <f>F377</f>
        <v>15.5651</v>
      </c>
      <c r="F377" s="28">
        <f>ROUND(15.5651,4)</f>
        <v>15.5651</v>
      </c>
      <c r="G377" s="25"/>
      <c r="H377" s="26"/>
    </row>
    <row r="378" spans="1:8" ht="12.75" customHeight="1">
      <c r="A378" s="23">
        <v>43360</v>
      </c>
      <c r="B378" s="23"/>
      <c r="C378" s="28">
        <f>ROUND(14.3908333333333,4)</f>
        <v>14.3908</v>
      </c>
      <c r="D378" s="28">
        <f>F378</f>
        <v>15.8797</v>
      </c>
      <c r="E378" s="28">
        <f>F378</f>
        <v>15.8797</v>
      </c>
      <c r="F378" s="28">
        <f>ROUND(15.8797,4)</f>
        <v>15.8797</v>
      </c>
      <c r="G378" s="25"/>
      <c r="H378" s="26"/>
    </row>
    <row r="379" spans="1:8" ht="12.75" customHeight="1">
      <c r="A379" s="23">
        <v>43448</v>
      </c>
      <c r="B379" s="23"/>
      <c r="C379" s="28">
        <f>ROUND(14.3908333333333,4)</f>
        <v>14.3908</v>
      </c>
      <c r="D379" s="28">
        <f>F379</f>
        <v>16.3858</v>
      </c>
      <c r="E379" s="28">
        <f>F379</f>
        <v>16.3858</v>
      </c>
      <c r="F379" s="28">
        <f>ROUND(16.3858,4)</f>
        <v>16.3858</v>
      </c>
      <c r="G379" s="25"/>
      <c r="H379" s="26"/>
    </row>
    <row r="380" spans="1:8" ht="12.75" customHeight="1">
      <c r="A380" s="23">
        <v>43542</v>
      </c>
      <c r="B380" s="23"/>
      <c r="C380" s="28">
        <f>ROUND(14.3908333333333,4)</f>
        <v>14.3908</v>
      </c>
      <c r="D380" s="28">
        <f>F380</f>
        <v>16.9264</v>
      </c>
      <c r="E380" s="28">
        <f>F380</f>
        <v>16.9264</v>
      </c>
      <c r="F380" s="28">
        <f>ROUND(16.9264,4)</f>
        <v>16.9264</v>
      </c>
      <c r="G380" s="25"/>
      <c r="H380" s="26"/>
    </row>
    <row r="381" spans="1:8" ht="12.75" customHeight="1">
      <c r="A381" s="23">
        <v>43630</v>
      </c>
      <c r="B381" s="23"/>
      <c r="C381" s="28">
        <f>ROUND(14.3908333333333,4)</f>
        <v>14.3908</v>
      </c>
      <c r="D381" s="28">
        <f>F381</f>
        <v>17.4325</v>
      </c>
      <c r="E381" s="28">
        <f>F381</f>
        <v>17.4325</v>
      </c>
      <c r="F381" s="28">
        <f>ROUND(17.4325,4)</f>
        <v>17.4325</v>
      </c>
      <c r="G381" s="25"/>
      <c r="H381" s="26"/>
    </row>
    <row r="382" spans="1:8" ht="12.75" customHeight="1">
      <c r="A382" s="23">
        <v>43724</v>
      </c>
      <c r="B382" s="23"/>
      <c r="C382" s="28">
        <f>ROUND(14.3908333333333,4)</f>
        <v>14.3908</v>
      </c>
      <c r="D382" s="28">
        <f>F382</f>
        <v>17.9731</v>
      </c>
      <c r="E382" s="28">
        <f>F382</f>
        <v>17.9731</v>
      </c>
      <c r="F382" s="28">
        <f>ROUND(17.9731,4)</f>
        <v>17.9731</v>
      </c>
      <c r="G382" s="25"/>
      <c r="H382" s="26"/>
    </row>
    <row r="383" spans="1:8" ht="12.75" customHeight="1">
      <c r="A383" s="23" t="s">
        <v>82</v>
      </c>
      <c r="B383" s="23"/>
      <c r="C383" s="27"/>
      <c r="D383" s="27"/>
      <c r="E383" s="27"/>
      <c r="F383" s="27"/>
      <c r="G383" s="25"/>
      <c r="H383" s="26"/>
    </row>
    <row r="384" spans="1:8" ht="12.75" customHeight="1">
      <c r="A384" s="23">
        <v>42632</v>
      </c>
      <c r="B384" s="23"/>
      <c r="C384" s="28">
        <f>ROUND(1.50958075457184,4)</f>
        <v>1.5096</v>
      </c>
      <c r="D384" s="28">
        <f>F384</f>
        <v>1.4696</v>
      </c>
      <c r="E384" s="28">
        <f>F384</f>
        <v>1.4696</v>
      </c>
      <c r="F384" s="28">
        <f>ROUND(1.4696,4)</f>
        <v>1.4696</v>
      </c>
      <c r="G384" s="25"/>
      <c r="H384" s="26"/>
    </row>
    <row r="385" spans="1:8" ht="12.75" customHeight="1">
      <c r="A385" s="23">
        <v>42723</v>
      </c>
      <c r="B385" s="23"/>
      <c r="C385" s="28">
        <f>ROUND(1.50958075457184,4)</f>
        <v>1.5096</v>
      </c>
      <c r="D385" s="28">
        <f>F385</f>
        <v>1.407</v>
      </c>
      <c r="E385" s="28">
        <f>F385</f>
        <v>1.407</v>
      </c>
      <c r="F385" s="28">
        <f>ROUND(1.407,4)</f>
        <v>1.407</v>
      </c>
      <c r="G385" s="25"/>
      <c r="H385" s="26"/>
    </row>
    <row r="386" spans="1:8" ht="12.75" customHeight="1">
      <c r="A386" s="23">
        <v>42807</v>
      </c>
      <c r="B386" s="23"/>
      <c r="C386" s="28">
        <f>ROUND(1.50958075457184,4)</f>
        <v>1.5096</v>
      </c>
      <c r="D386" s="28">
        <f>F386</f>
        <v>1.3543</v>
      </c>
      <c r="E386" s="28">
        <f>F386</f>
        <v>1.3543</v>
      </c>
      <c r="F386" s="28">
        <f>ROUND(1.3543,4)</f>
        <v>1.3543</v>
      </c>
      <c r="G386" s="25"/>
      <c r="H386" s="26"/>
    </row>
    <row r="387" spans="1:8" ht="12.75" customHeight="1">
      <c r="A387" s="23">
        <v>42905</v>
      </c>
      <c r="B387" s="23"/>
      <c r="C387" s="28">
        <f>ROUND(1.50958075457184,4)</f>
        <v>1.5096</v>
      </c>
      <c r="D387" s="28">
        <f>F387</f>
        <v>1.3005</v>
      </c>
      <c r="E387" s="28">
        <f>F387</f>
        <v>1.3005</v>
      </c>
      <c r="F387" s="28">
        <f>ROUND(1.3005,4)</f>
        <v>1.3005</v>
      </c>
      <c r="G387" s="25"/>
      <c r="H387" s="26"/>
    </row>
    <row r="388" spans="1:8" ht="12.75" customHeight="1">
      <c r="A388" s="23" t="s">
        <v>83</v>
      </c>
      <c r="B388" s="23"/>
      <c r="C388" s="27"/>
      <c r="D388" s="27"/>
      <c r="E388" s="27"/>
      <c r="F388" s="27"/>
      <c r="G388" s="25"/>
      <c r="H388" s="26"/>
    </row>
    <row r="389" spans="1:8" ht="12.75" customHeight="1">
      <c r="A389" s="23">
        <v>42586</v>
      </c>
      <c r="B389" s="23"/>
      <c r="C389" s="29">
        <f>ROUND(567.414,3)</f>
        <v>567.414</v>
      </c>
      <c r="D389" s="29">
        <f>F389</f>
        <v>568.556</v>
      </c>
      <c r="E389" s="29">
        <f>F389</f>
        <v>568.556</v>
      </c>
      <c r="F389" s="29">
        <f>ROUND(568.556,3)</f>
        <v>568.556</v>
      </c>
      <c r="G389" s="25"/>
      <c r="H389" s="26"/>
    </row>
    <row r="390" spans="1:8" ht="12.75" customHeight="1">
      <c r="A390" s="23">
        <v>42677</v>
      </c>
      <c r="B390" s="23"/>
      <c r="C390" s="29">
        <f>ROUND(567.414,3)</f>
        <v>567.414</v>
      </c>
      <c r="D390" s="29">
        <f>F390</f>
        <v>579.39</v>
      </c>
      <c r="E390" s="29">
        <f>F390</f>
        <v>579.39</v>
      </c>
      <c r="F390" s="29">
        <f>ROUND(579.39,3)</f>
        <v>579.39</v>
      </c>
      <c r="G390" s="25"/>
      <c r="H390" s="26"/>
    </row>
    <row r="391" spans="1:8" ht="12.75" customHeight="1">
      <c r="A391" s="23">
        <v>42768</v>
      </c>
      <c r="B391" s="23"/>
      <c r="C391" s="29">
        <f>ROUND(567.414,3)</f>
        <v>567.414</v>
      </c>
      <c r="D391" s="29">
        <f>F391</f>
        <v>590.804</v>
      </c>
      <c r="E391" s="29">
        <f>F391</f>
        <v>590.804</v>
      </c>
      <c r="F391" s="29">
        <f>ROUND(590.804,3)</f>
        <v>590.804</v>
      </c>
      <c r="G391" s="25"/>
      <c r="H391" s="26"/>
    </row>
    <row r="392" spans="1:8" ht="12.75" customHeight="1">
      <c r="A392" s="23">
        <v>42859</v>
      </c>
      <c r="B392" s="23"/>
      <c r="C392" s="29">
        <f>ROUND(567.414,3)</f>
        <v>567.414</v>
      </c>
      <c r="D392" s="29">
        <f>F392</f>
        <v>603.023</v>
      </c>
      <c r="E392" s="29">
        <f>F392</f>
        <v>603.023</v>
      </c>
      <c r="F392" s="29">
        <f>ROUND(603.023,3)</f>
        <v>603.023</v>
      </c>
      <c r="G392" s="25"/>
      <c r="H392" s="26"/>
    </row>
    <row r="393" spans="1:8" ht="12.75" customHeight="1">
      <c r="A393" s="23" t="s">
        <v>84</v>
      </c>
      <c r="B393" s="23"/>
      <c r="C393" s="27"/>
      <c r="D393" s="27"/>
      <c r="E393" s="27"/>
      <c r="F393" s="27"/>
      <c r="G393" s="25"/>
      <c r="H393" s="26"/>
    </row>
    <row r="394" spans="1:8" ht="12.75" customHeight="1">
      <c r="A394" s="23">
        <v>42586</v>
      </c>
      <c r="B394" s="23"/>
      <c r="C394" s="29">
        <f>ROUND(492.45,3)</f>
        <v>492.45</v>
      </c>
      <c r="D394" s="29">
        <f>F394</f>
        <v>493.441</v>
      </c>
      <c r="E394" s="29">
        <f>F394</f>
        <v>493.441</v>
      </c>
      <c r="F394" s="29">
        <f>ROUND(493.441,3)</f>
        <v>493.441</v>
      </c>
      <c r="G394" s="25"/>
      <c r="H394" s="26"/>
    </row>
    <row r="395" spans="1:8" ht="12.75" customHeight="1">
      <c r="A395" s="23">
        <v>42677</v>
      </c>
      <c r="B395" s="23"/>
      <c r="C395" s="29">
        <f>ROUND(492.45,3)</f>
        <v>492.45</v>
      </c>
      <c r="D395" s="29">
        <f>F395</f>
        <v>502.844</v>
      </c>
      <c r="E395" s="29">
        <f>F395</f>
        <v>502.844</v>
      </c>
      <c r="F395" s="29">
        <f>ROUND(502.844,3)</f>
        <v>502.844</v>
      </c>
      <c r="G395" s="25"/>
      <c r="H395" s="26"/>
    </row>
    <row r="396" spans="1:8" ht="12.75" customHeight="1">
      <c r="A396" s="23">
        <v>42768</v>
      </c>
      <c r="B396" s="23"/>
      <c r="C396" s="29">
        <f>ROUND(492.45,3)</f>
        <v>492.45</v>
      </c>
      <c r="D396" s="29">
        <f>F396</f>
        <v>512.75</v>
      </c>
      <c r="E396" s="29">
        <f>F396</f>
        <v>512.75</v>
      </c>
      <c r="F396" s="29">
        <f>ROUND(512.75,3)</f>
        <v>512.75</v>
      </c>
      <c r="G396" s="25"/>
      <c r="H396" s="26"/>
    </row>
    <row r="397" spans="1:8" ht="12.75" customHeight="1">
      <c r="A397" s="23">
        <v>42859</v>
      </c>
      <c r="B397" s="23"/>
      <c r="C397" s="29">
        <f>ROUND(492.45,3)</f>
        <v>492.45</v>
      </c>
      <c r="D397" s="29">
        <f>F397</f>
        <v>523.354</v>
      </c>
      <c r="E397" s="29">
        <f>F397</f>
        <v>523.354</v>
      </c>
      <c r="F397" s="29">
        <f>ROUND(523.354,3)</f>
        <v>523.354</v>
      </c>
      <c r="G397" s="25"/>
      <c r="H397" s="26"/>
    </row>
    <row r="398" spans="1:8" ht="12.75" customHeight="1">
      <c r="A398" s="23" t="s">
        <v>85</v>
      </c>
      <c r="B398" s="23"/>
      <c r="C398" s="27"/>
      <c r="D398" s="27"/>
      <c r="E398" s="27"/>
      <c r="F398" s="27"/>
      <c r="G398" s="25"/>
      <c r="H398" s="26"/>
    </row>
    <row r="399" spans="1:8" ht="12.75" customHeight="1">
      <c r="A399" s="23">
        <v>42586</v>
      </c>
      <c r="B399" s="23"/>
      <c r="C399" s="29">
        <f>ROUND(570.484,3)</f>
        <v>570.484</v>
      </c>
      <c r="D399" s="29">
        <f>F399</f>
        <v>571.632</v>
      </c>
      <c r="E399" s="29">
        <f>F399</f>
        <v>571.632</v>
      </c>
      <c r="F399" s="29">
        <f>ROUND(571.632,3)</f>
        <v>571.632</v>
      </c>
      <c r="G399" s="25"/>
      <c r="H399" s="26"/>
    </row>
    <row r="400" spans="1:8" ht="12.75" customHeight="1">
      <c r="A400" s="23">
        <v>42677</v>
      </c>
      <c r="B400" s="23"/>
      <c r="C400" s="29">
        <f>ROUND(570.484,3)</f>
        <v>570.484</v>
      </c>
      <c r="D400" s="29">
        <f>F400</f>
        <v>582.525</v>
      </c>
      <c r="E400" s="29">
        <f>F400</f>
        <v>582.525</v>
      </c>
      <c r="F400" s="29">
        <f>ROUND(582.525,3)</f>
        <v>582.525</v>
      </c>
      <c r="G400" s="25"/>
      <c r="H400" s="26"/>
    </row>
    <row r="401" spans="1:8" ht="12.75" customHeight="1">
      <c r="A401" s="23">
        <v>42768</v>
      </c>
      <c r="B401" s="23"/>
      <c r="C401" s="29">
        <f>ROUND(570.484,3)</f>
        <v>570.484</v>
      </c>
      <c r="D401" s="29">
        <f>F401</f>
        <v>594.001</v>
      </c>
      <c r="E401" s="29">
        <f>F401</f>
        <v>594.001</v>
      </c>
      <c r="F401" s="29">
        <f>ROUND(594.001,3)</f>
        <v>594.001</v>
      </c>
      <c r="G401" s="25"/>
      <c r="H401" s="26"/>
    </row>
    <row r="402" spans="1:8" ht="12.75" customHeight="1">
      <c r="A402" s="23">
        <v>42859</v>
      </c>
      <c r="B402" s="23"/>
      <c r="C402" s="29">
        <f>ROUND(570.484,3)</f>
        <v>570.484</v>
      </c>
      <c r="D402" s="29">
        <f>F402</f>
        <v>606.285</v>
      </c>
      <c r="E402" s="29">
        <f>F402</f>
        <v>606.285</v>
      </c>
      <c r="F402" s="29">
        <f>ROUND(606.285,3)</f>
        <v>606.285</v>
      </c>
      <c r="G402" s="25"/>
      <c r="H402" s="26"/>
    </row>
    <row r="403" spans="1:8" ht="12.75" customHeight="1">
      <c r="A403" s="23" t="s">
        <v>86</v>
      </c>
      <c r="B403" s="23"/>
      <c r="C403" s="27"/>
      <c r="D403" s="27"/>
      <c r="E403" s="27"/>
      <c r="F403" s="27"/>
      <c r="G403" s="25"/>
      <c r="H403" s="26"/>
    </row>
    <row r="404" spans="1:8" ht="12.75" customHeight="1">
      <c r="A404" s="23">
        <v>42586</v>
      </c>
      <c r="B404" s="23"/>
      <c r="C404" s="29">
        <f>ROUND(519.048,3)</f>
        <v>519.048</v>
      </c>
      <c r="D404" s="29">
        <f>F404</f>
        <v>520.093</v>
      </c>
      <c r="E404" s="29">
        <f>F404</f>
        <v>520.093</v>
      </c>
      <c r="F404" s="29">
        <f>ROUND(520.093,3)</f>
        <v>520.093</v>
      </c>
      <c r="G404" s="25"/>
      <c r="H404" s="26"/>
    </row>
    <row r="405" spans="1:8" ht="12.75" customHeight="1">
      <c r="A405" s="23">
        <v>42677</v>
      </c>
      <c r="B405" s="23"/>
      <c r="C405" s="29">
        <f>ROUND(519.048,3)</f>
        <v>519.048</v>
      </c>
      <c r="D405" s="29">
        <f>F405</f>
        <v>530.003</v>
      </c>
      <c r="E405" s="29">
        <f>F405</f>
        <v>530.003</v>
      </c>
      <c r="F405" s="29">
        <f>ROUND(530.003,3)</f>
        <v>530.003</v>
      </c>
      <c r="G405" s="25"/>
      <c r="H405" s="26"/>
    </row>
    <row r="406" spans="1:8" ht="12.75" customHeight="1">
      <c r="A406" s="23">
        <v>42768</v>
      </c>
      <c r="B406" s="23"/>
      <c r="C406" s="29">
        <f>ROUND(519.048,3)</f>
        <v>519.048</v>
      </c>
      <c r="D406" s="29">
        <f>F406</f>
        <v>540.444</v>
      </c>
      <c r="E406" s="29">
        <f>F406</f>
        <v>540.444</v>
      </c>
      <c r="F406" s="29">
        <f>ROUND(540.444,3)</f>
        <v>540.444</v>
      </c>
      <c r="G406" s="25"/>
      <c r="H406" s="26"/>
    </row>
    <row r="407" spans="1:8" ht="12.75" customHeight="1">
      <c r="A407" s="23">
        <v>42859</v>
      </c>
      <c r="B407" s="23"/>
      <c r="C407" s="29">
        <f>ROUND(519.048,3)</f>
        <v>519.048</v>
      </c>
      <c r="D407" s="29">
        <f>F407</f>
        <v>551.621</v>
      </c>
      <c r="E407" s="29">
        <f>F407</f>
        <v>551.621</v>
      </c>
      <c r="F407" s="29">
        <f>ROUND(551.621,3)</f>
        <v>551.621</v>
      </c>
      <c r="G407" s="25"/>
      <c r="H407" s="26"/>
    </row>
    <row r="408" spans="1:8" ht="12.75" customHeight="1">
      <c r="A408" s="23" t="s">
        <v>87</v>
      </c>
      <c r="B408" s="23"/>
      <c r="C408" s="27"/>
      <c r="D408" s="27"/>
      <c r="E408" s="27"/>
      <c r="F408" s="27"/>
      <c r="G408" s="25"/>
      <c r="H408" s="26"/>
    </row>
    <row r="409" spans="1:8" ht="12.75" customHeight="1">
      <c r="A409" s="23">
        <v>42586</v>
      </c>
      <c r="B409" s="23"/>
      <c r="C409" s="29">
        <f>ROUND(246.754367778487,3)</f>
        <v>246.754</v>
      </c>
      <c r="D409" s="29">
        <f>F409</f>
        <v>247.253</v>
      </c>
      <c r="E409" s="29">
        <f>F409</f>
        <v>247.253</v>
      </c>
      <c r="F409" s="29">
        <f>ROUND(247.253,3)</f>
        <v>247.253</v>
      </c>
      <c r="G409" s="25"/>
      <c r="H409" s="26"/>
    </row>
    <row r="410" spans="1:8" ht="12.75" customHeight="1">
      <c r="A410" s="23">
        <v>42677</v>
      </c>
      <c r="B410" s="23"/>
      <c r="C410" s="29">
        <f>ROUND(246.754367778487,3)</f>
        <v>246.754</v>
      </c>
      <c r="D410" s="29">
        <f>F410</f>
        <v>251.979</v>
      </c>
      <c r="E410" s="29">
        <f>F410</f>
        <v>251.979</v>
      </c>
      <c r="F410" s="29">
        <f>ROUND(251.979,3)</f>
        <v>251.979</v>
      </c>
      <c r="G410" s="25"/>
      <c r="H410" s="26"/>
    </row>
    <row r="411" spans="1:8" ht="12.75" customHeight="1">
      <c r="A411" s="23">
        <v>42768</v>
      </c>
      <c r="B411" s="23"/>
      <c r="C411" s="29">
        <f>ROUND(246.754367778487,3)</f>
        <v>246.754</v>
      </c>
      <c r="D411" s="29">
        <f>F411</f>
        <v>256.959</v>
      </c>
      <c r="E411" s="29">
        <f>F411</f>
        <v>256.959</v>
      </c>
      <c r="F411" s="29">
        <f>ROUND(256.959,3)</f>
        <v>256.959</v>
      </c>
      <c r="G411" s="25"/>
      <c r="H411" s="26"/>
    </row>
    <row r="412" spans="1:8" ht="12.75" customHeight="1">
      <c r="A412" s="23">
        <v>42859</v>
      </c>
      <c r="B412" s="23"/>
      <c r="C412" s="29">
        <f>ROUND(246.754367778487,3)</f>
        <v>246.754</v>
      </c>
      <c r="D412" s="29">
        <f>F412</f>
        <v>262.288</v>
      </c>
      <c r="E412" s="29">
        <f>F412</f>
        <v>262.288</v>
      </c>
      <c r="F412" s="29">
        <f>ROUND(262.288,3)</f>
        <v>262.288</v>
      </c>
      <c r="G412" s="25"/>
      <c r="H412" s="26"/>
    </row>
    <row r="413" spans="1:8" ht="12.75" customHeight="1">
      <c r="A413" s="23" t="s">
        <v>88</v>
      </c>
      <c r="B413" s="23"/>
      <c r="C413" s="27"/>
      <c r="D413" s="27"/>
      <c r="E413" s="27"/>
      <c r="F413" s="27"/>
      <c r="G413" s="25"/>
      <c r="H413" s="26"/>
    </row>
    <row r="414" spans="1:8" ht="12.75" customHeight="1">
      <c r="A414" s="23">
        <v>42586</v>
      </c>
      <c r="B414" s="23"/>
      <c r="C414" s="29">
        <f>ROUND(668.484159372887,3)</f>
        <v>668.484</v>
      </c>
      <c r="D414" s="29">
        <f>F414</f>
        <v>670.132</v>
      </c>
      <c r="E414" s="29">
        <f>F414</f>
        <v>670.132</v>
      </c>
      <c r="F414" s="29">
        <f>ROUND(670.132,3)</f>
        <v>670.132</v>
      </c>
      <c r="G414" s="25"/>
      <c r="H414" s="26"/>
    </row>
    <row r="415" spans="1:8" ht="12.75" customHeight="1">
      <c r="A415" s="23">
        <v>42677</v>
      </c>
      <c r="B415" s="23"/>
      <c r="C415" s="29">
        <f>ROUND(668.484159372887,3)</f>
        <v>668.484</v>
      </c>
      <c r="D415" s="29">
        <f>F415</f>
        <v>682.916</v>
      </c>
      <c r="E415" s="29">
        <f>F415</f>
        <v>682.916</v>
      </c>
      <c r="F415" s="29">
        <f>ROUND(682.916,3)</f>
        <v>682.916</v>
      </c>
      <c r="G415" s="25"/>
      <c r="H415" s="26"/>
    </row>
    <row r="416" spans="1:8" ht="12.75" customHeight="1">
      <c r="A416" s="23">
        <v>42768</v>
      </c>
      <c r="B416" s="23"/>
      <c r="C416" s="29">
        <f>ROUND(668.484159372887,3)</f>
        <v>668.484</v>
      </c>
      <c r="D416" s="29">
        <f>F416</f>
        <v>696.379</v>
      </c>
      <c r="E416" s="29">
        <f>F416</f>
        <v>696.379</v>
      </c>
      <c r="F416" s="29">
        <f>ROUND(696.379,3)</f>
        <v>696.379</v>
      </c>
      <c r="G416" s="25"/>
      <c r="H416" s="26"/>
    </row>
    <row r="417" spans="1:8" ht="12.75" customHeight="1">
      <c r="A417" s="23">
        <v>42859</v>
      </c>
      <c r="B417" s="23"/>
      <c r="C417" s="29">
        <f>ROUND(668.484159372887,3)</f>
        <v>668.484</v>
      </c>
      <c r="D417" s="29">
        <f>F417</f>
        <v>710.245</v>
      </c>
      <c r="E417" s="29">
        <f>F417</f>
        <v>710.245</v>
      </c>
      <c r="F417" s="29">
        <f>ROUND(710.245,3)</f>
        <v>710.245</v>
      </c>
      <c r="G417" s="25"/>
      <c r="H417" s="26"/>
    </row>
    <row r="418" spans="1:8" ht="12.75" customHeight="1">
      <c r="A418" s="23" t="s">
        <v>89</v>
      </c>
      <c r="B418" s="23"/>
      <c r="C418" s="27"/>
      <c r="D418" s="27"/>
      <c r="E418" s="27"/>
      <c r="F418" s="27"/>
      <c r="G418" s="25"/>
      <c r="H418" s="26"/>
    </row>
    <row r="419" spans="1:8" ht="12.75" customHeight="1">
      <c r="A419" s="23">
        <v>42632</v>
      </c>
      <c r="B419" s="23"/>
      <c r="C419" s="25">
        <f>ROUND(24844.14,2)</f>
        <v>24844.14</v>
      </c>
      <c r="D419" s="25">
        <f>F419</f>
        <v>25127.13</v>
      </c>
      <c r="E419" s="25">
        <f>F419</f>
        <v>25127.13</v>
      </c>
      <c r="F419" s="25">
        <f>ROUND(25127.13,2)</f>
        <v>25127.13</v>
      </c>
      <c r="G419" s="25"/>
      <c r="H419" s="26"/>
    </row>
    <row r="420" spans="1:8" ht="12.75" customHeight="1">
      <c r="A420" s="23">
        <v>42723</v>
      </c>
      <c r="B420" s="23"/>
      <c r="C420" s="25">
        <f>ROUND(24844.14,2)</f>
        <v>24844.14</v>
      </c>
      <c r="D420" s="25">
        <f>F420</f>
        <v>25591.51</v>
      </c>
      <c r="E420" s="25">
        <f>F420</f>
        <v>25591.51</v>
      </c>
      <c r="F420" s="25">
        <f>ROUND(25591.51,2)</f>
        <v>25591.51</v>
      </c>
      <c r="G420" s="25"/>
      <c r="H420" s="26"/>
    </row>
    <row r="421" spans="1:8" ht="12.75" customHeight="1">
      <c r="A421" s="23">
        <v>42807</v>
      </c>
      <c r="B421" s="23"/>
      <c r="C421" s="25">
        <f>ROUND(24844.14,2)</f>
        <v>24844.14</v>
      </c>
      <c r="D421" s="25">
        <f>F421</f>
        <v>26030.13</v>
      </c>
      <c r="E421" s="25">
        <f>F421</f>
        <v>26030.13</v>
      </c>
      <c r="F421" s="25">
        <f>ROUND(26030.13,2)</f>
        <v>26030.13</v>
      </c>
      <c r="G421" s="25"/>
      <c r="H421" s="26"/>
    </row>
    <row r="422" spans="1:8" ht="12.75" customHeight="1">
      <c r="A422" s="23" t="s">
        <v>90</v>
      </c>
      <c r="B422" s="23"/>
      <c r="C422" s="27"/>
      <c r="D422" s="27"/>
      <c r="E422" s="27"/>
      <c r="F422" s="27"/>
      <c r="G422" s="25"/>
      <c r="H422" s="26"/>
    </row>
    <row r="423" spans="1:8" ht="12.75" customHeight="1">
      <c r="A423" s="23">
        <v>42599</v>
      </c>
      <c r="B423" s="23"/>
      <c r="C423" s="29">
        <f>ROUND(7.12,3)</f>
        <v>7.12</v>
      </c>
      <c r="D423" s="29">
        <f>ROUND(7.39,3)</f>
        <v>7.39</v>
      </c>
      <c r="E423" s="29">
        <f>ROUND(7.29,3)</f>
        <v>7.29</v>
      </c>
      <c r="F423" s="29">
        <f>ROUND(7.34,3)</f>
        <v>7.34</v>
      </c>
      <c r="G423" s="25"/>
      <c r="H423" s="26"/>
    </row>
    <row r="424" spans="1:8" ht="12.75" customHeight="1">
      <c r="A424" s="23">
        <v>42634</v>
      </c>
      <c r="B424" s="23"/>
      <c r="C424" s="29">
        <f>ROUND(7.12,3)</f>
        <v>7.12</v>
      </c>
      <c r="D424" s="29">
        <f>ROUND(7.4,3)</f>
        <v>7.4</v>
      </c>
      <c r="E424" s="29">
        <f>ROUND(7.3,3)</f>
        <v>7.3</v>
      </c>
      <c r="F424" s="29">
        <f>ROUND(7.35,3)</f>
        <v>7.35</v>
      </c>
      <c r="G424" s="25"/>
      <c r="H424" s="26"/>
    </row>
    <row r="425" spans="1:8" ht="12.75" customHeight="1">
      <c r="A425" s="23">
        <v>42662</v>
      </c>
      <c r="B425" s="23"/>
      <c r="C425" s="29">
        <f>ROUND(7.12,3)</f>
        <v>7.12</v>
      </c>
      <c r="D425" s="29">
        <f>ROUND(7.43,3)</f>
        <v>7.43</v>
      </c>
      <c r="E425" s="29">
        <f>ROUND(7.33,3)</f>
        <v>7.33</v>
      </c>
      <c r="F425" s="29">
        <f>ROUND(7.38,3)</f>
        <v>7.38</v>
      </c>
      <c r="G425" s="25"/>
      <c r="H425" s="26"/>
    </row>
    <row r="426" spans="1:8" ht="12.75" customHeight="1">
      <c r="A426" s="23">
        <v>42690</v>
      </c>
      <c r="B426" s="23"/>
      <c r="C426" s="29">
        <f>ROUND(7.12,3)</f>
        <v>7.12</v>
      </c>
      <c r="D426" s="29">
        <f>ROUND(7.46,3)</f>
        <v>7.46</v>
      </c>
      <c r="E426" s="29">
        <f>ROUND(7.36,3)</f>
        <v>7.36</v>
      </c>
      <c r="F426" s="29">
        <f>ROUND(7.41,3)</f>
        <v>7.41</v>
      </c>
      <c r="G426" s="25"/>
      <c r="H426" s="26"/>
    </row>
    <row r="427" spans="1:8" ht="12.75" customHeight="1">
      <c r="A427" s="23">
        <v>42725</v>
      </c>
      <c r="B427" s="23"/>
      <c r="C427" s="29">
        <f>ROUND(7.12,3)</f>
        <v>7.12</v>
      </c>
      <c r="D427" s="29">
        <f>ROUND(7.5,3)</f>
        <v>7.5</v>
      </c>
      <c r="E427" s="29">
        <f>ROUND(7.4,3)</f>
        <v>7.4</v>
      </c>
      <c r="F427" s="29">
        <f>ROUND(7.45,3)</f>
        <v>7.45</v>
      </c>
      <c r="G427" s="25"/>
      <c r="H427" s="26"/>
    </row>
    <row r="428" spans="1:8" ht="12.75" customHeight="1">
      <c r="A428" s="23">
        <v>42781</v>
      </c>
      <c r="B428" s="23"/>
      <c r="C428" s="29">
        <f>ROUND(7.12,3)</f>
        <v>7.12</v>
      </c>
      <c r="D428" s="29">
        <f>ROUND(7.56,3)</f>
        <v>7.56</v>
      </c>
      <c r="E428" s="29">
        <f>ROUND(7.46,3)</f>
        <v>7.46</v>
      </c>
      <c r="F428" s="29">
        <f>ROUND(7.51,3)</f>
        <v>7.51</v>
      </c>
      <c r="G428" s="25"/>
      <c r="H428" s="26"/>
    </row>
    <row r="429" spans="1:8" ht="12.75" customHeight="1">
      <c r="A429" s="23">
        <v>42809</v>
      </c>
      <c r="B429" s="23"/>
      <c r="C429" s="29">
        <f>ROUND(7.12,3)</f>
        <v>7.12</v>
      </c>
      <c r="D429" s="29">
        <f>ROUND(7.6,3)</f>
        <v>7.6</v>
      </c>
      <c r="E429" s="29">
        <f>ROUND(7.5,3)</f>
        <v>7.5</v>
      </c>
      <c r="F429" s="29">
        <f>ROUND(7.55,3)</f>
        <v>7.55</v>
      </c>
      <c r="G429" s="25"/>
      <c r="H429" s="26"/>
    </row>
    <row r="430" spans="1:8" ht="12.75" customHeight="1">
      <c r="A430" s="23">
        <v>42907</v>
      </c>
      <c r="B430" s="23"/>
      <c r="C430" s="29">
        <f>ROUND(7.12,3)</f>
        <v>7.12</v>
      </c>
      <c r="D430" s="29">
        <f>ROUND(7.66,3)</f>
        <v>7.66</v>
      </c>
      <c r="E430" s="29">
        <f>ROUND(7.56,3)</f>
        <v>7.56</v>
      </c>
      <c r="F430" s="29">
        <f>ROUND(7.61,3)</f>
        <v>7.61</v>
      </c>
      <c r="G430" s="25"/>
      <c r="H430" s="26"/>
    </row>
    <row r="431" spans="1:8" ht="12.75" customHeight="1">
      <c r="A431" s="23">
        <v>42998</v>
      </c>
      <c r="B431" s="23"/>
      <c r="C431" s="29">
        <f>ROUND(7.12,3)</f>
        <v>7.12</v>
      </c>
      <c r="D431" s="29">
        <f>ROUND(7.7,3)</f>
        <v>7.7</v>
      </c>
      <c r="E431" s="29">
        <f>ROUND(7.6,3)</f>
        <v>7.6</v>
      </c>
      <c r="F431" s="29">
        <f>ROUND(7.65,3)</f>
        <v>7.65</v>
      </c>
      <c r="G431" s="25"/>
      <c r="H431" s="26"/>
    </row>
    <row r="432" spans="1:8" ht="12.75" customHeight="1">
      <c r="A432" s="23">
        <v>43089</v>
      </c>
      <c r="B432" s="23"/>
      <c r="C432" s="29">
        <f>ROUND(7.12,3)</f>
        <v>7.12</v>
      </c>
      <c r="D432" s="29">
        <f>ROUND(7.73,3)</f>
        <v>7.73</v>
      </c>
      <c r="E432" s="29">
        <f>ROUND(7.63,3)</f>
        <v>7.63</v>
      </c>
      <c r="F432" s="29">
        <f>ROUND(7.68,3)</f>
        <v>7.68</v>
      </c>
      <c r="G432" s="25"/>
      <c r="H432" s="26"/>
    </row>
    <row r="433" spans="1:8" ht="12.75" customHeight="1">
      <c r="A433" s="23">
        <v>43179</v>
      </c>
      <c r="B433" s="23"/>
      <c r="C433" s="29">
        <f>ROUND(7.12,3)</f>
        <v>7.12</v>
      </c>
      <c r="D433" s="29">
        <f>ROUND(7.76,3)</f>
        <v>7.76</v>
      </c>
      <c r="E433" s="29">
        <f>ROUND(7.66,3)</f>
        <v>7.66</v>
      </c>
      <c r="F433" s="29">
        <f>ROUND(7.71,3)</f>
        <v>7.71</v>
      </c>
      <c r="G433" s="25"/>
      <c r="H433" s="26"/>
    </row>
    <row r="434" spans="1:8" ht="12.75" customHeight="1">
      <c r="A434" s="23">
        <v>43269</v>
      </c>
      <c r="B434" s="23"/>
      <c r="C434" s="29">
        <f>ROUND(7.12,3)</f>
        <v>7.12</v>
      </c>
      <c r="D434" s="29">
        <f>ROUND(7.79,3)</f>
        <v>7.79</v>
      </c>
      <c r="E434" s="29">
        <f>ROUND(7.69,3)</f>
        <v>7.69</v>
      </c>
      <c r="F434" s="29">
        <f>ROUND(7.74,3)</f>
        <v>7.74</v>
      </c>
      <c r="G434" s="25"/>
      <c r="H434" s="26"/>
    </row>
    <row r="435" spans="1:8" ht="12.75" customHeight="1">
      <c r="A435" s="23" t="s">
        <v>91</v>
      </c>
      <c r="B435" s="23"/>
      <c r="C435" s="27"/>
      <c r="D435" s="27"/>
      <c r="E435" s="27"/>
      <c r="F435" s="27"/>
      <c r="G435" s="25"/>
      <c r="H435" s="26"/>
    </row>
    <row r="436" spans="1:8" ht="12.75" customHeight="1">
      <c r="A436" s="23">
        <v>42586</v>
      </c>
      <c r="B436" s="23"/>
      <c r="C436" s="29">
        <f>ROUND(516.947,3)</f>
        <v>516.947</v>
      </c>
      <c r="D436" s="29">
        <f>F436</f>
        <v>517.987</v>
      </c>
      <c r="E436" s="29">
        <f>F436</f>
        <v>517.987</v>
      </c>
      <c r="F436" s="29">
        <f>ROUND(517.987,3)</f>
        <v>517.987</v>
      </c>
      <c r="G436" s="25"/>
      <c r="H436" s="26"/>
    </row>
    <row r="437" spans="1:8" ht="12.75" customHeight="1">
      <c r="A437" s="23">
        <v>42677</v>
      </c>
      <c r="B437" s="23"/>
      <c r="C437" s="29">
        <f>ROUND(516.947,3)</f>
        <v>516.947</v>
      </c>
      <c r="D437" s="29">
        <f>F437</f>
        <v>527.858</v>
      </c>
      <c r="E437" s="29">
        <f>F437</f>
        <v>527.858</v>
      </c>
      <c r="F437" s="29">
        <f>ROUND(527.858,3)</f>
        <v>527.858</v>
      </c>
      <c r="G437" s="25"/>
      <c r="H437" s="26"/>
    </row>
    <row r="438" spans="1:8" ht="12.75" customHeight="1">
      <c r="A438" s="23">
        <v>42768</v>
      </c>
      <c r="B438" s="23"/>
      <c r="C438" s="29">
        <f>ROUND(516.947,3)</f>
        <v>516.947</v>
      </c>
      <c r="D438" s="29">
        <f>F438</f>
        <v>538.257</v>
      </c>
      <c r="E438" s="29">
        <f>F438</f>
        <v>538.257</v>
      </c>
      <c r="F438" s="29">
        <f>ROUND(538.257,3)</f>
        <v>538.257</v>
      </c>
      <c r="G438" s="25"/>
      <c r="H438" s="26"/>
    </row>
    <row r="439" spans="1:8" ht="12.75" customHeight="1">
      <c r="A439" s="23">
        <v>42859</v>
      </c>
      <c r="B439" s="23"/>
      <c r="C439" s="29">
        <f>ROUND(516.947,3)</f>
        <v>516.947</v>
      </c>
      <c r="D439" s="29">
        <f>F439</f>
        <v>549.389</v>
      </c>
      <c r="E439" s="29">
        <f>F439</f>
        <v>549.389</v>
      </c>
      <c r="F439" s="29">
        <f>ROUND(549.389,3)</f>
        <v>549.389</v>
      </c>
      <c r="G439" s="25"/>
      <c r="H439" s="26"/>
    </row>
    <row r="440" spans="1:8" ht="12.75" customHeight="1">
      <c r="A440" s="23" t="s">
        <v>92</v>
      </c>
      <c r="B440" s="23"/>
      <c r="C440" s="27"/>
      <c r="D440" s="27"/>
      <c r="E440" s="27"/>
      <c r="F440" s="27"/>
      <c r="G440" s="25"/>
      <c r="H440" s="26"/>
    </row>
    <row r="441" spans="1:8" ht="12.75" customHeight="1">
      <c r="A441" s="23">
        <v>42723</v>
      </c>
      <c r="B441" s="23"/>
      <c r="C441" s="24">
        <f>ROUND(99.7810251211561,5)</f>
        <v>99.78103</v>
      </c>
      <c r="D441" s="24">
        <f>F441</f>
        <v>100.07488</v>
      </c>
      <c r="E441" s="24">
        <f>F441</f>
        <v>100.07488</v>
      </c>
      <c r="F441" s="24">
        <f>ROUND(100.07488376213,5)</f>
        <v>100.07488</v>
      </c>
      <c r="G441" s="25"/>
      <c r="H441" s="26"/>
    </row>
    <row r="442" spans="1:8" ht="12.75" customHeight="1">
      <c r="A442" s="23" t="s">
        <v>93</v>
      </c>
      <c r="B442" s="23"/>
      <c r="C442" s="27"/>
      <c r="D442" s="27"/>
      <c r="E442" s="27"/>
      <c r="F442" s="27"/>
      <c r="G442" s="25"/>
      <c r="H442" s="26"/>
    </row>
    <row r="443" spans="1:8" ht="12.75" customHeight="1">
      <c r="A443" s="23">
        <v>42810</v>
      </c>
      <c r="B443" s="23"/>
      <c r="C443" s="24">
        <f>ROUND(99.7810251211561,5)</f>
        <v>99.78103</v>
      </c>
      <c r="D443" s="24">
        <f>F443</f>
        <v>100.03417</v>
      </c>
      <c r="E443" s="24">
        <f>F443</f>
        <v>100.03417</v>
      </c>
      <c r="F443" s="24">
        <f>ROUND(100.034174193065,5)</f>
        <v>100.03417</v>
      </c>
      <c r="G443" s="25"/>
      <c r="H443" s="26"/>
    </row>
    <row r="444" spans="1:8" ht="12.75" customHeight="1">
      <c r="A444" s="23" t="s">
        <v>94</v>
      </c>
      <c r="B444" s="23"/>
      <c r="C444" s="27"/>
      <c r="D444" s="27"/>
      <c r="E444" s="27"/>
      <c r="F444" s="27"/>
      <c r="G444" s="25"/>
      <c r="H444" s="26"/>
    </row>
    <row r="445" spans="1:8" ht="12.75" customHeight="1">
      <c r="A445" s="23">
        <v>42901</v>
      </c>
      <c r="B445" s="23"/>
      <c r="C445" s="24">
        <f>ROUND(99.7810251211561,5)</f>
        <v>99.78103</v>
      </c>
      <c r="D445" s="24">
        <f>F445</f>
        <v>99.69058</v>
      </c>
      <c r="E445" s="24">
        <f>F445</f>
        <v>99.69058</v>
      </c>
      <c r="F445" s="24">
        <f>ROUND(99.6905773358717,5)</f>
        <v>99.69058</v>
      </c>
      <c r="G445" s="25"/>
      <c r="H445" s="26"/>
    </row>
    <row r="446" spans="1:8" ht="12.75" customHeight="1">
      <c r="A446" s="23" t="s">
        <v>95</v>
      </c>
      <c r="B446" s="23"/>
      <c r="C446" s="27"/>
      <c r="D446" s="27"/>
      <c r="E446" s="27"/>
      <c r="F446" s="27"/>
      <c r="G446" s="25"/>
      <c r="H446" s="26"/>
    </row>
    <row r="447" spans="1:8" ht="12.75" customHeight="1">
      <c r="A447" s="23">
        <v>42999</v>
      </c>
      <c r="B447" s="23"/>
      <c r="C447" s="24">
        <f>ROUND(99.7810251211561,5)</f>
        <v>99.78103</v>
      </c>
      <c r="D447" s="24">
        <f>F447</f>
        <v>99.78103</v>
      </c>
      <c r="E447" s="24">
        <f>F447</f>
        <v>99.78103</v>
      </c>
      <c r="F447" s="24">
        <f>ROUND(99.7810251211561,5)</f>
        <v>99.78103</v>
      </c>
      <c r="G447" s="25"/>
      <c r="H447" s="26"/>
    </row>
    <row r="448" spans="1:8" ht="12.75" customHeight="1">
      <c r="A448" s="23" t="s">
        <v>96</v>
      </c>
      <c r="B448" s="23"/>
      <c r="C448" s="27"/>
      <c r="D448" s="27"/>
      <c r="E448" s="27"/>
      <c r="F448" s="27"/>
      <c r="G448" s="25"/>
      <c r="H448" s="26"/>
    </row>
    <row r="449" spans="1:8" ht="12.75" customHeight="1">
      <c r="A449" s="23">
        <v>43087</v>
      </c>
      <c r="B449" s="23"/>
      <c r="C449" s="24">
        <f>ROUND(99.3054087602626,5)</f>
        <v>99.30541</v>
      </c>
      <c r="D449" s="24">
        <f>F449</f>
        <v>100.11718</v>
      </c>
      <c r="E449" s="24">
        <f>F449</f>
        <v>100.11718</v>
      </c>
      <c r="F449" s="24">
        <f>ROUND(100.117178198203,5)</f>
        <v>100.11718</v>
      </c>
      <c r="G449" s="25"/>
      <c r="H449" s="26"/>
    </row>
    <row r="450" spans="1:8" ht="12.75" customHeight="1">
      <c r="A450" s="23" t="s">
        <v>97</v>
      </c>
      <c r="B450" s="23"/>
      <c r="C450" s="27"/>
      <c r="D450" s="27"/>
      <c r="E450" s="27"/>
      <c r="F450" s="27"/>
      <c r="G450" s="25"/>
      <c r="H450" s="26"/>
    </row>
    <row r="451" spans="1:8" ht="12.75" customHeight="1">
      <c r="A451" s="23">
        <v>43175</v>
      </c>
      <c r="B451" s="23"/>
      <c r="C451" s="24">
        <f>ROUND(99.3054087602626,5)</f>
        <v>99.30541</v>
      </c>
      <c r="D451" s="24">
        <f>F451</f>
        <v>99.45893</v>
      </c>
      <c r="E451" s="24">
        <f>F451</f>
        <v>99.45893</v>
      </c>
      <c r="F451" s="24">
        <f>ROUND(99.4589319477439,5)</f>
        <v>99.45893</v>
      </c>
      <c r="G451" s="25"/>
      <c r="H451" s="26"/>
    </row>
    <row r="452" spans="1:8" ht="12.75" customHeight="1">
      <c r="A452" s="23" t="s">
        <v>98</v>
      </c>
      <c r="B452" s="23"/>
      <c r="C452" s="27"/>
      <c r="D452" s="27"/>
      <c r="E452" s="27"/>
      <c r="F452" s="27"/>
      <c r="G452" s="25"/>
      <c r="H452" s="26"/>
    </row>
    <row r="453" spans="1:8" ht="12.75" customHeight="1">
      <c r="A453" s="23">
        <v>43266</v>
      </c>
      <c r="B453" s="23"/>
      <c r="C453" s="24">
        <f>ROUND(99.3054087602626,5)</f>
        <v>99.30541</v>
      </c>
      <c r="D453" s="24">
        <f>F453</f>
        <v>99.17969</v>
      </c>
      <c r="E453" s="24">
        <f>F453</f>
        <v>99.17969</v>
      </c>
      <c r="F453" s="24">
        <f>ROUND(99.1796918285666,5)</f>
        <v>99.17969</v>
      </c>
      <c r="G453" s="25"/>
      <c r="H453" s="26"/>
    </row>
    <row r="454" spans="1:8" ht="12.75" customHeight="1">
      <c r="A454" s="23" t="s">
        <v>99</v>
      </c>
      <c r="B454" s="23"/>
      <c r="C454" s="27"/>
      <c r="D454" s="27"/>
      <c r="E454" s="27"/>
      <c r="F454" s="27"/>
      <c r="G454" s="25"/>
      <c r="H454" s="26"/>
    </row>
    <row r="455" spans="1:8" ht="12.75" customHeight="1">
      <c r="A455" s="23">
        <v>43364</v>
      </c>
      <c r="B455" s="23"/>
      <c r="C455" s="24">
        <f>ROUND(99.3054087602626,5)</f>
        <v>99.30541</v>
      </c>
      <c r="D455" s="24">
        <f>F455</f>
        <v>99.30541</v>
      </c>
      <c r="E455" s="24">
        <f>F455</f>
        <v>99.30541</v>
      </c>
      <c r="F455" s="24">
        <f>ROUND(99.3054087602626,5)</f>
        <v>99.30541</v>
      </c>
      <c r="G455" s="25"/>
      <c r="H455" s="26"/>
    </row>
    <row r="456" spans="1:8" ht="12.75" customHeight="1">
      <c r="A456" s="23" t="s">
        <v>100</v>
      </c>
      <c r="B456" s="23"/>
      <c r="C456" s="27"/>
      <c r="D456" s="27"/>
      <c r="E456" s="27"/>
      <c r="F456" s="27"/>
      <c r="G456" s="25"/>
      <c r="H456" s="26"/>
    </row>
    <row r="457" spans="1:8" ht="12.75" customHeight="1">
      <c r="A457" s="23">
        <v>44182</v>
      </c>
      <c r="B457" s="23"/>
      <c r="C457" s="24">
        <f>ROUND(97.5227172587199,5)</f>
        <v>97.52272</v>
      </c>
      <c r="D457" s="24">
        <f>F457</f>
        <v>98.53498</v>
      </c>
      <c r="E457" s="24">
        <f>F457</f>
        <v>98.53498</v>
      </c>
      <c r="F457" s="24">
        <f>ROUND(98.5349815941798,5)</f>
        <v>98.53498</v>
      </c>
      <c r="G457" s="25"/>
      <c r="H457" s="26"/>
    </row>
    <row r="458" spans="1:8" ht="12.75" customHeight="1">
      <c r="A458" s="23" t="s">
        <v>101</v>
      </c>
      <c r="B458" s="23"/>
      <c r="C458" s="27"/>
      <c r="D458" s="27"/>
      <c r="E458" s="27"/>
      <c r="F458" s="27"/>
      <c r="G458" s="25"/>
      <c r="H458" s="26"/>
    </row>
    <row r="459" spans="1:8" ht="12.75" customHeight="1">
      <c r="A459" s="23">
        <v>44271</v>
      </c>
      <c r="B459" s="23"/>
      <c r="C459" s="24">
        <f>ROUND(97.5227172587199,5)</f>
        <v>97.52272</v>
      </c>
      <c r="D459" s="24">
        <f>F459</f>
        <v>97.90251</v>
      </c>
      <c r="E459" s="24">
        <f>F459</f>
        <v>97.90251</v>
      </c>
      <c r="F459" s="24">
        <f>ROUND(97.9025146420053,5)</f>
        <v>97.90251</v>
      </c>
      <c r="G459" s="25"/>
      <c r="H459" s="26"/>
    </row>
    <row r="460" spans="1:8" ht="12.75" customHeight="1">
      <c r="A460" s="23" t="s">
        <v>102</v>
      </c>
      <c r="B460" s="23"/>
      <c r="C460" s="27"/>
      <c r="D460" s="27"/>
      <c r="E460" s="27"/>
      <c r="F460" s="27"/>
      <c r="G460" s="25"/>
      <c r="H460" s="26"/>
    </row>
    <row r="461" spans="1:8" ht="12.75" customHeight="1">
      <c r="A461" s="23">
        <v>44362</v>
      </c>
      <c r="B461" s="23"/>
      <c r="C461" s="24">
        <f>ROUND(97.5227172587199,5)</f>
        <v>97.52272</v>
      </c>
      <c r="D461" s="24">
        <f>F461</f>
        <v>97.22995</v>
      </c>
      <c r="E461" s="24">
        <f>F461</f>
        <v>97.22995</v>
      </c>
      <c r="F461" s="24">
        <f>ROUND(97.2299508701652,5)</f>
        <v>97.22995</v>
      </c>
      <c r="G461" s="25"/>
      <c r="H461" s="26"/>
    </row>
    <row r="462" spans="1:8" ht="12.75" customHeight="1">
      <c r="A462" s="23" t="s">
        <v>103</v>
      </c>
      <c r="B462" s="23"/>
      <c r="C462" s="27"/>
      <c r="D462" s="27"/>
      <c r="E462" s="27"/>
      <c r="F462" s="27"/>
      <c r="G462" s="25"/>
      <c r="H462" s="26"/>
    </row>
    <row r="463" spans="1:8" ht="12.75" customHeight="1">
      <c r="A463" s="23">
        <v>44460</v>
      </c>
      <c r="B463" s="23"/>
      <c r="C463" s="24">
        <f>ROUND(97.5227172587199,5)</f>
        <v>97.52272</v>
      </c>
      <c r="D463" s="24">
        <f>F463</f>
        <v>97.52272</v>
      </c>
      <c r="E463" s="24">
        <f>F463</f>
        <v>97.52272</v>
      </c>
      <c r="F463" s="24">
        <f>ROUND(97.5227172587199,5)</f>
        <v>97.52272</v>
      </c>
      <c r="G463" s="25"/>
      <c r="H463" s="26"/>
    </row>
    <row r="464" spans="1:8" ht="12.75" customHeight="1">
      <c r="A464" s="23" t="s">
        <v>104</v>
      </c>
      <c r="B464" s="23"/>
      <c r="C464" s="27"/>
      <c r="D464" s="27"/>
      <c r="E464" s="27"/>
      <c r="F464" s="27"/>
      <c r="G464" s="25"/>
      <c r="H464" s="26"/>
    </row>
    <row r="465" spans="1:8" ht="12.75" customHeight="1">
      <c r="A465" s="23">
        <v>46008</v>
      </c>
      <c r="B465" s="23"/>
      <c r="C465" s="24">
        <f>ROUND(96.6640683864682,5)</f>
        <v>96.66407</v>
      </c>
      <c r="D465" s="24">
        <f>F465</f>
        <v>98.68577</v>
      </c>
      <c r="E465" s="24">
        <f>F465</f>
        <v>98.68577</v>
      </c>
      <c r="F465" s="24">
        <f>ROUND(98.6857723600203,5)</f>
        <v>98.68577</v>
      </c>
      <c r="G465" s="25"/>
      <c r="H465" s="26"/>
    </row>
    <row r="466" spans="1:8" ht="12.75" customHeight="1">
      <c r="A466" s="23" t="s">
        <v>105</v>
      </c>
      <c r="B466" s="23"/>
      <c r="C466" s="27"/>
      <c r="D466" s="27"/>
      <c r="E466" s="27"/>
      <c r="F466" s="27"/>
      <c r="G466" s="25"/>
      <c r="H466" s="26"/>
    </row>
    <row r="467" spans="1:8" ht="12.75" customHeight="1">
      <c r="A467" s="23">
        <v>46097</v>
      </c>
      <c r="B467" s="23"/>
      <c r="C467" s="24">
        <f>ROUND(96.6640683864682,5)</f>
        <v>96.66407</v>
      </c>
      <c r="D467" s="24">
        <f>F467</f>
        <v>95.79882</v>
      </c>
      <c r="E467" s="24">
        <f>F467</f>
        <v>95.79882</v>
      </c>
      <c r="F467" s="24">
        <f>ROUND(95.7988177924108,5)</f>
        <v>95.79882</v>
      </c>
      <c r="G467" s="25"/>
      <c r="H467" s="26"/>
    </row>
    <row r="468" spans="1:8" ht="12.75" customHeight="1">
      <c r="A468" s="23" t="s">
        <v>106</v>
      </c>
      <c r="B468" s="23"/>
      <c r="C468" s="27"/>
      <c r="D468" s="27"/>
      <c r="E468" s="27"/>
      <c r="F468" s="27"/>
      <c r="G468" s="25"/>
      <c r="H468" s="26"/>
    </row>
    <row r="469" spans="1:8" ht="12.75" customHeight="1">
      <c r="A469" s="23">
        <v>46188</v>
      </c>
      <c r="B469" s="23"/>
      <c r="C469" s="24">
        <f>ROUND(96.6640683864682,5)</f>
        <v>96.66407</v>
      </c>
      <c r="D469" s="24">
        <f>F469</f>
        <v>94.58578</v>
      </c>
      <c r="E469" s="24">
        <f>F469</f>
        <v>94.58578</v>
      </c>
      <c r="F469" s="24">
        <f>ROUND(94.5857779581208,5)</f>
        <v>94.58578</v>
      </c>
      <c r="G469" s="25"/>
      <c r="H469" s="26"/>
    </row>
    <row r="470" spans="1:8" ht="12.75" customHeight="1">
      <c r="A470" s="23" t="s">
        <v>107</v>
      </c>
      <c r="B470" s="23"/>
      <c r="C470" s="27"/>
      <c r="D470" s="27"/>
      <c r="E470" s="27"/>
      <c r="F470" s="27"/>
      <c r="G470" s="25"/>
      <c r="H470" s="26"/>
    </row>
    <row r="471" spans="1:8" ht="12.75" customHeight="1" thickBot="1">
      <c r="A471" s="31">
        <v>46286</v>
      </c>
      <c r="B471" s="31"/>
      <c r="C471" s="32">
        <f>ROUND(96.6640683864682,5)</f>
        <v>96.66407</v>
      </c>
      <c r="D471" s="32">
        <f>F471</f>
        <v>96.66407</v>
      </c>
      <c r="E471" s="32">
        <f>F471</f>
        <v>96.66407</v>
      </c>
      <c r="F471" s="32">
        <f>ROUND(96.6640683864682,5)</f>
        <v>96.66407</v>
      </c>
      <c r="G471" s="33"/>
      <c r="H471" s="34"/>
    </row>
  </sheetData>
  <sheetProtection/>
  <mergeCells count="470"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User</cp:lastModifiedBy>
  <cp:lastPrinted>2008-12-04T15:24:37Z</cp:lastPrinted>
  <dcterms:created xsi:type="dcterms:W3CDTF">1997-08-29T10:04:45Z</dcterms:created>
  <dcterms:modified xsi:type="dcterms:W3CDTF">2016-07-25T15:54:52Z</dcterms:modified>
  <cp:category/>
  <cp:version/>
  <cp:contentType/>
  <cp:contentStatus/>
</cp:coreProperties>
</file>