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'Jerry'!$A$1:$H$389</definedName>
  </definedNames>
  <calcPr fullCalcOnLoad="1"/>
</workbook>
</file>

<file path=xl/sharedStrings.xml><?xml version="1.0" encoding="utf-8"?>
<sst xmlns="http://schemas.openxmlformats.org/spreadsheetml/2006/main" count="83" uniqueCount="83">
  <si>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</si>
  <si>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</si>
  <si>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</si>
  <si>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</si>
  <si>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</si>
  <si>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</si>
  <si>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</si>
  <si>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</si>
  <si>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</si>
  <si>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</si>
  <si>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</si>
  <si>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</si>
  <si>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</si>
  <si>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</si>
  <si>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</si>
  <si>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</si>
  <si>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</si>
  <si>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</si>
  <si>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 (R186)</t>
  </si>
  <si>
    <t>R197 SPOT  (R197)</t>
  </si>
  <si>
    <t>R202 SPOT  (R202)</t>
  </si>
  <si>
    <t>R203 SPOT  (R203)</t>
  </si>
  <si>
    <t>R204 SPOT  (R204)</t>
  </si>
  <si>
    <t>R207 SPOT  (R207)</t>
  </si>
  <si>
    <t>R208 SPOT  (R208)</t>
  </si>
  <si>
    <t>R209 SPOT  (R209)</t>
  </si>
  <si>
    <t>R210 SPOT  (R210)</t>
  </si>
  <si>
    <t>R212 SPOT  (R212)</t>
  </si>
  <si>
    <t>R213 SPOT  (R213)</t>
  </si>
  <si>
    <t>2025 FUTURE  (2025)</t>
  </si>
  <si>
    <t>2029 FUTURE  (2029)</t>
  </si>
  <si>
    <t>R2030 FUTURE  (2030)</t>
  </si>
  <si>
    <t>R2032 FUTURE  (2032)</t>
  </si>
  <si>
    <t>2033 FUTURE  (2033)</t>
  </si>
  <si>
    <t>R2037 FUTURE  (2037)</t>
  </si>
  <si>
    <t>2038 FUTURE  (2038)</t>
  </si>
  <si>
    <t>R2040 FUTURE  (2040)</t>
  </si>
  <si>
    <t>R2044 FUTURE  (2044)</t>
  </si>
  <si>
    <t>2046 FUTURE  (2046)</t>
  </si>
  <si>
    <t>2050 FUTURE  (2050)</t>
  </si>
  <si>
    <t>EL28 FUTURE  (EL28)</t>
  </si>
  <si>
    <t>ES33 FUTURE  (ES33)</t>
  </si>
  <si>
    <t>ES42 FUTURE  (ES42)</t>
  </si>
  <si>
    <t>R023 FUTURE  (R023)</t>
  </si>
  <si>
    <t>R035 FUTURE  (R035)</t>
  </si>
  <si>
    <t>R186 FUTURE  (R186)</t>
  </si>
  <si>
    <t>R197 FUTURE  (R197)</t>
  </si>
  <si>
    <t>R202 FUTURE  (R202)</t>
  </si>
  <si>
    <t>R203 FUTURE  (R203)</t>
  </si>
  <si>
    <t>R204 FUTURE  (R204)</t>
  </si>
  <si>
    <t>R207 FUTURE  (R207)</t>
  </si>
  <si>
    <t>R208 FUTURE  (R208)</t>
  </si>
  <si>
    <t>R209 FUTURE  (R209)</t>
  </si>
  <si>
    <t>R210 FUTURE  (R210)</t>
  </si>
  <si>
    <t>R212 FUTURE  (R212)</t>
  </si>
  <si>
    <t>R213 FUTURE  (R213)</t>
  </si>
  <si>
    <t>R214 FUTURE  (R214)</t>
  </si>
  <si>
    <t>R248 FUTURE  (R248)</t>
  </si>
  <si>
    <t>Any Day DAEU  (DAEU)</t>
  </si>
  <si>
    <t>Any Day DAGB (DAGB)</t>
  </si>
  <si>
    <t>Any Day DAUS  (DAUS)</t>
  </si>
  <si>
    <t>Euro / Dollar Quanto (EUUS)</t>
  </si>
  <si>
    <t>Rand Currency Index  (RAIN)</t>
  </si>
  <si>
    <t>Australian Dollar Rand (ZAAD)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</si>
  <si>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</si>
  <si>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</si>
  <si>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</si>
  <si>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</si>
  <si>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</si>
  <si>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</si>
  <si>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Japanese Yen  (ZAJY)</t>
  </si>
  <si>
    <t>Rand / Kenian Shilling (ZAKS)</t>
  </si>
  <si>
    <t>Turkish Lira / Rand (ZATR)</t>
  </si>
  <si>
    <t>Rand / Dollar Maxi  (ZAUM)</t>
  </si>
  <si>
    <t>US Dollar Rand (ZAUS)</t>
  </si>
  <si>
    <t>Rand / Zambian Kwacha (ZAZW)</t>
  </si>
  <si>
    <t>AL12  (AL12)</t>
  </si>
  <si>
    <t>AL37  (AL37)</t>
  </si>
  <si>
    <t>AL7T  (AL7T)</t>
  </si>
  <si>
    <t>ALBI  (ALBI)</t>
  </si>
  <si>
    <t>IGOV  (IGOV)</t>
  </si>
  <si>
    <t>ILBI  (ILBI)</t>
  </si>
  <si>
    <t>GOVI  (GOVI)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</si>
</sst>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2" fontId="6" fillId="0" borderId="16" xfId="0" applyNumberFormat="1" applyFont="1" applyFill="1" applyBorder="1" applyAlignment="1" applyProtection="1">
      <alignment horizontal="center"/>
      <protection locked="0"/>
    </xf>
    <xf numFmtId="194" fontId="6" fillId="0" borderId="16" xfId="0" applyNumberFormat="1" applyFont="1" applyFill="1" applyBorder="1" applyAlignment="1" applyProtection="1">
      <alignment horizontal="center"/>
      <protection locked="0"/>
    </xf>
    <xf numFmtId="193" fontId="6" fillId="0" borderId="16" xfId="0" applyNumberFormat="1" applyFont="1" applyFill="1" applyBorder="1" applyAlignment="1" applyProtection="1">
      <alignment horizontal="center"/>
      <protection locked="0"/>
    </xf>
    <xf numFmtId="197" fontId="6" fillId="0" borderId="16" xfId="0" applyNumberFormat="1" applyFont="1" applyFill="1" applyBorder="1" applyAlignment="1" applyProtection="1">
      <alignment horizontal="center"/>
      <protection locked="0"/>
    </xf>
    <xf numFmtId="199" fontId="6" fillId="0" borderId="16" xfId="0" applyNumberFormat="1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193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18" xfId="0" applyNumberFormat="1" applyFont="1" applyFill="1" applyBorder="1" applyAlignment="1" applyProtection="1">
      <alignment horizontal="center"/>
      <protection locked="0"/>
    </xf>
    <xf numFmtId="201" fontId="6" fillId="0" borderId="16" xfId="0" applyNumberFormat="1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201" fontId="8" fillId="0" borderId="24" xfId="0" applyNumberFormat="1" applyFont="1" applyFill="1" applyBorder="1" applyAlignment="1" applyProtection="1">
      <alignment horizontal="center"/>
      <protection locked="0"/>
    </xf>
    <xf numFmtId="1" fontId="8" fillId="0" borderId="25" xfId="0" applyNumberFormat="1" applyFont="1" applyFill="1" applyBorder="1" applyAlignment="1" applyProtection="1">
      <alignment horizontal="center"/>
      <protection locked="0"/>
    </xf>
    <xf numFmtId="201" fontId="6" fillId="0" borderId="17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8"/>
  <sheetViews>
    <sheetView tabSelected="1" zoomScaleSheetLayoutView="75" zoomScalePageLayoutView="0" workbookViewId="0" topLeftCell="A1">
      <selection activeCell="P10" sqref="P10:P11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35">
        <v>42809</v>
      </c>
      <c r="H1" s="35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36">
        <v>3</v>
      </c>
      <c r="H2" s="36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33" t="s">
        <v>2</v>
      </c>
      <c r="B4" s="34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37" t="s">
        <v>12</v>
      </c>
      <c r="B5" s="37"/>
      <c r="C5" s="24"/>
      <c r="D5" s="24"/>
      <c r="E5" s="24"/>
      <c r="F5" s="24"/>
      <c r="G5" s="25"/>
      <c r="H5" s="28"/>
    </row>
    <row r="6" spans="1:8" ht="12.75" customHeight="1">
      <c r="A6" s="32">
        <v>45688</v>
      </c>
      <c r="B6" s="32"/>
      <c r="C6" s="21">
        <f>ROUND(2.11,3)</f>
        <v>2.11</v>
      </c>
      <c r="D6" s="21">
        <f>F6</f>
        <v>2.11</v>
      </c>
      <c r="E6" s="21">
        <f>F6</f>
        <v>2.11</v>
      </c>
      <c r="F6" s="21">
        <f>ROUND(2.11,3)</f>
        <v>2.11</v>
      </c>
      <c r="G6" s="19"/>
      <c r="H6" s="29"/>
    </row>
    <row r="7" spans="1:8" ht="12.75" customHeight="1">
      <c r="A7" s="32" t="s">
        <v>13</v>
      </c>
      <c r="B7" s="32"/>
      <c r="C7" s="18"/>
      <c r="D7" s="18"/>
      <c r="E7" s="18"/>
      <c r="F7" s="18"/>
      <c r="G7" s="19"/>
      <c r="H7" s="29"/>
    </row>
    <row r="8" spans="1:8" ht="12.75" customHeight="1">
      <c r="A8" s="32">
        <v>50436</v>
      </c>
      <c r="B8" s="32"/>
      <c r="C8" s="21">
        <f>ROUND(2.09,3)</f>
        <v>2.09</v>
      </c>
      <c r="D8" s="21">
        <f>F8</f>
        <v>2.09</v>
      </c>
      <c r="E8" s="21">
        <f>F8</f>
        <v>2.09</v>
      </c>
      <c r="F8" s="21">
        <f>ROUND(2.09,3)</f>
        <v>2.09</v>
      </c>
      <c r="G8" s="19"/>
      <c r="H8" s="29"/>
    </row>
    <row r="9" spans="1:8" ht="12.75" customHeight="1">
      <c r="A9" s="32" t="s">
        <v>14</v>
      </c>
      <c r="B9" s="32"/>
      <c r="C9" s="20"/>
      <c r="D9" s="20"/>
      <c r="E9" s="20"/>
      <c r="F9" s="20"/>
      <c r="G9" s="19"/>
      <c r="H9" s="29"/>
    </row>
    <row r="10" spans="1:8" ht="12.75" customHeight="1">
      <c r="A10" s="32">
        <v>55153</v>
      </c>
      <c r="B10" s="32"/>
      <c r="C10" s="21">
        <f>ROUND(2.11,3)</f>
        <v>2.11</v>
      </c>
      <c r="D10" s="21">
        <f>F10</f>
        <v>2.11</v>
      </c>
      <c r="E10" s="21">
        <f>F10</f>
        <v>2.11</v>
      </c>
      <c r="F10" s="21">
        <f>ROUND(2.11,3)</f>
        <v>2.11</v>
      </c>
      <c r="G10" s="19"/>
      <c r="H10" s="29"/>
    </row>
    <row r="11" spans="1:8" ht="12.75" customHeight="1">
      <c r="A11" s="32" t="s">
        <v>15</v>
      </c>
      <c r="B11" s="32"/>
      <c r="C11" s="20"/>
      <c r="D11" s="20"/>
      <c r="E11" s="20"/>
      <c r="F11" s="20"/>
      <c r="G11" s="19"/>
      <c r="H11" s="29"/>
    </row>
    <row r="12" spans="1:8" ht="12.75" customHeight="1">
      <c r="A12" s="32">
        <v>46875</v>
      </c>
      <c r="B12" s="32"/>
      <c r="C12" s="21">
        <f>ROUND(2.77,3)</f>
        <v>2.77</v>
      </c>
      <c r="D12" s="21">
        <f>F12</f>
        <v>2.77</v>
      </c>
      <c r="E12" s="21">
        <f>F12</f>
        <v>2.77</v>
      </c>
      <c r="F12" s="21">
        <f>ROUND(2.77,3)</f>
        <v>2.77</v>
      </c>
      <c r="G12" s="19"/>
      <c r="H12" s="29"/>
    </row>
    <row r="13" spans="1:8" ht="12.75" customHeight="1">
      <c r="A13" s="32" t="s">
        <v>16</v>
      </c>
      <c r="B13" s="32"/>
      <c r="C13" s="20"/>
      <c r="D13" s="20"/>
      <c r="E13" s="20"/>
      <c r="F13" s="20"/>
      <c r="G13" s="19"/>
      <c r="H13" s="29"/>
    </row>
    <row r="14" spans="1:8" ht="12.75" customHeight="1">
      <c r="A14" s="32">
        <v>48837</v>
      </c>
      <c r="B14" s="32"/>
      <c r="C14" s="21">
        <f>ROUND(10.335,3)</f>
        <v>10.335</v>
      </c>
      <c r="D14" s="21">
        <f>F14</f>
        <v>10.335</v>
      </c>
      <c r="E14" s="21">
        <f>F14</f>
        <v>10.335</v>
      </c>
      <c r="F14" s="21">
        <f>ROUND(10.335,3)</f>
        <v>10.335</v>
      </c>
      <c r="G14" s="19"/>
      <c r="H14" s="29"/>
    </row>
    <row r="15" spans="1:8" ht="12.75" customHeight="1">
      <c r="A15" s="32" t="s">
        <v>17</v>
      </c>
      <c r="B15" s="32"/>
      <c r="C15" s="20"/>
      <c r="D15" s="20"/>
      <c r="E15" s="20"/>
      <c r="F15" s="20"/>
      <c r="G15" s="19"/>
      <c r="H15" s="29"/>
    </row>
    <row r="16" spans="1:8" ht="12.75" customHeight="1">
      <c r="A16" s="32">
        <v>44985</v>
      </c>
      <c r="B16" s="32"/>
      <c r="C16" s="21">
        <f>ROUND(8.22,3)</f>
        <v>8.22</v>
      </c>
      <c r="D16" s="21">
        <f>F16</f>
        <v>8.22</v>
      </c>
      <c r="E16" s="21">
        <f>F16</f>
        <v>8.22</v>
      </c>
      <c r="F16" s="21">
        <f>ROUND(8.22,3)</f>
        <v>8.22</v>
      </c>
      <c r="G16" s="19"/>
      <c r="H16" s="29"/>
    </row>
    <row r="17" spans="1:8" ht="12.75" customHeight="1">
      <c r="A17" s="32" t="s">
        <v>18</v>
      </c>
      <c r="B17" s="32"/>
      <c r="C17" s="20"/>
      <c r="D17" s="20"/>
      <c r="E17" s="20"/>
      <c r="F17" s="20"/>
      <c r="G17" s="19"/>
      <c r="H17" s="29"/>
    </row>
    <row r="18" spans="1:8" ht="12.75" customHeight="1">
      <c r="A18" s="32">
        <v>46377</v>
      </c>
      <c r="B18" s="32"/>
      <c r="C18" s="21">
        <f>ROUND(8.655,3)</f>
        <v>8.655</v>
      </c>
      <c r="D18" s="21">
        <f>F18</f>
        <v>8.655</v>
      </c>
      <c r="E18" s="21">
        <f>F18</f>
        <v>8.655</v>
      </c>
      <c r="F18" s="21">
        <f>ROUND(8.655,3)</f>
        <v>8.655</v>
      </c>
      <c r="G18" s="19"/>
      <c r="H18" s="29"/>
    </row>
    <row r="19" spans="1:8" ht="12.75" customHeight="1">
      <c r="A19" s="32" t="s">
        <v>19</v>
      </c>
      <c r="B19" s="32"/>
      <c r="C19" s="20"/>
      <c r="D19" s="20"/>
      <c r="E19" s="20"/>
      <c r="F19" s="20"/>
      <c r="G19" s="19"/>
      <c r="H19" s="29"/>
    </row>
    <row r="20" spans="1:8" ht="12.75" customHeight="1">
      <c r="A20" s="32">
        <v>45267</v>
      </c>
      <c r="B20" s="32"/>
      <c r="C20" s="21">
        <f>ROUND(2.075,3)</f>
        <v>2.075</v>
      </c>
      <c r="D20" s="21">
        <f>F20</f>
        <v>2.075</v>
      </c>
      <c r="E20" s="21">
        <f>F20</f>
        <v>2.075</v>
      </c>
      <c r="F20" s="21">
        <f>ROUND(2.075,3)</f>
        <v>2.075</v>
      </c>
      <c r="G20" s="19"/>
      <c r="H20" s="29"/>
    </row>
    <row r="21" spans="1:8" ht="12.75" customHeight="1">
      <c r="A21" s="32" t="s">
        <v>20</v>
      </c>
      <c r="B21" s="32"/>
      <c r="C21" s="20"/>
      <c r="D21" s="20"/>
      <c r="E21" s="20"/>
      <c r="F21" s="20"/>
      <c r="G21" s="19"/>
      <c r="H21" s="29"/>
    </row>
    <row r="22" spans="1:8" ht="12.75" customHeight="1">
      <c r="A22" s="32">
        <v>48920</v>
      </c>
      <c r="B22" s="32"/>
      <c r="C22" s="21">
        <f>ROUND(2.13,3)</f>
        <v>2.13</v>
      </c>
      <c r="D22" s="21">
        <f>F22</f>
        <v>2.13</v>
      </c>
      <c r="E22" s="21">
        <f>F22</f>
        <v>2.13</v>
      </c>
      <c r="F22" s="21">
        <f>ROUND(2.13,3)</f>
        <v>2.13</v>
      </c>
      <c r="G22" s="19"/>
      <c r="H22" s="29"/>
    </row>
    <row r="23" spans="1:8" ht="12.75" customHeight="1">
      <c r="A23" s="32" t="s">
        <v>21</v>
      </c>
      <c r="B23" s="32"/>
      <c r="C23" s="20"/>
      <c r="D23" s="20"/>
      <c r="E23" s="20"/>
      <c r="F23" s="20"/>
      <c r="G23" s="19"/>
      <c r="H23" s="29"/>
    </row>
    <row r="24" spans="1:8" ht="12.75" customHeight="1">
      <c r="A24" s="32">
        <v>42993</v>
      </c>
      <c r="B24" s="32"/>
      <c r="C24" s="21">
        <f>ROUND(7.34,3)</f>
        <v>7.34</v>
      </c>
      <c r="D24" s="21">
        <f>F24</f>
        <v>7.34</v>
      </c>
      <c r="E24" s="21">
        <f>F24</f>
        <v>7.34</v>
      </c>
      <c r="F24" s="21">
        <f>ROUND(7.34,3)</f>
        <v>7.34</v>
      </c>
      <c r="G24" s="19"/>
      <c r="H24" s="29"/>
    </row>
    <row r="25" spans="1:8" ht="12.75" customHeight="1">
      <c r="A25" s="32" t="s">
        <v>22</v>
      </c>
      <c r="B25" s="32"/>
      <c r="C25" s="20"/>
      <c r="D25" s="20"/>
      <c r="E25" s="20"/>
      <c r="F25" s="20"/>
      <c r="G25" s="19"/>
      <c r="H25" s="29"/>
    </row>
    <row r="26" spans="1:8" ht="12.75" customHeight="1">
      <c r="A26" s="32">
        <v>43455</v>
      </c>
      <c r="B26" s="32"/>
      <c r="C26" s="21">
        <f>ROUND(7.465,3)</f>
        <v>7.465</v>
      </c>
      <c r="D26" s="21">
        <f>F26</f>
        <v>7.465</v>
      </c>
      <c r="E26" s="21">
        <f>F26</f>
        <v>7.465</v>
      </c>
      <c r="F26" s="21">
        <f>ROUND(7.465,3)</f>
        <v>7.465</v>
      </c>
      <c r="G26" s="19"/>
      <c r="H26" s="29"/>
    </row>
    <row r="27" spans="1:8" ht="12.75" customHeight="1">
      <c r="A27" s="32" t="s">
        <v>23</v>
      </c>
      <c r="B27" s="32"/>
      <c r="C27" s="20"/>
      <c r="D27" s="20"/>
      <c r="E27" s="20"/>
      <c r="F27" s="20"/>
      <c r="G27" s="19"/>
      <c r="H27" s="29"/>
    </row>
    <row r="28" spans="1:8" ht="12.75" customHeight="1">
      <c r="A28" s="32">
        <v>43845</v>
      </c>
      <c r="B28" s="32"/>
      <c r="C28" s="21">
        <f>ROUND(7.685,3)</f>
        <v>7.685</v>
      </c>
      <c r="D28" s="21">
        <f>F28</f>
        <v>7.685</v>
      </c>
      <c r="E28" s="21">
        <f>F28</f>
        <v>7.685</v>
      </c>
      <c r="F28" s="21">
        <f>ROUND(7.685,3)</f>
        <v>7.685</v>
      </c>
      <c r="G28" s="19"/>
      <c r="H28" s="29"/>
    </row>
    <row r="29" spans="1:8" ht="12.75" customHeight="1">
      <c r="A29" s="32" t="s">
        <v>24</v>
      </c>
      <c r="B29" s="32"/>
      <c r="C29" s="20"/>
      <c r="D29" s="20"/>
      <c r="E29" s="20"/>
      <c r="F29" s="20"/>
      <c r="G29" s="19"/>
      <c r="H29" s="29"/>
    </row>
    <row r="30" spans="1:8" ht="12.75" customHeight="1">
      <c r="A30" s="32">
        <v>44286</v>
      </c>
      <c r="B30" s="32"/>
      <c r="C30" s="21">
        <f>ROUND(7.83,3)</f>
        <v>7.83</v>
      </c>
      <c r="D30" s="21">
        <f>F30</f>
        <v>7.83</v>
      </c>
      <c r="E30" s="21">
        <f>F30</f>
        <v>7.83</v>
      </c>
      <c r="F30" s="21">
        <f>ROUND(7.83,3)</f>
        <v>7.83</v>
      </c>
      <c r="G30" s="19"/>
      <c r="H30" s="29"/>
    </row>
    <row r="31" spans="1:8" ht="12.75" customHeight="1">
      <c r="A31" s="32" t="s">
        <v>25</v>
      </c>
      <c r="B31" s="32"/>
      <c r="C31" s="18"/>
      <c r="D31" s="18"/>
      <c r="E31" s="18"/>
      <c r="F31" s="18"/>
      <c r="G31" s="19"/>
      <c r="H31" s="29"/>
    </row>
    <row r="32" spans="1:8" ht="12.75" customHeight="1">
      <c r="A32" s="32">
        <v>49765</v>
      </c>
      <c r="B32" s="32"/>
      <c r="C32" s="21">
        <f>ROUND(9.315,3)</f>
        <v>9.315</v>
      </c>
      <c r="D32" s="21">
        <f>F32</f>
        <v>9.315</v>
      </c>
      <c r="E32" s="21">
        <f>F32</f>
        <v>9.315</v>
      </c>
      <c r="F32" s="21">
        <f>ROUND(9.315,3)</f>
        <v>9.315</v>
      </c>
      <c r="G32" s="19"/>
      <c r="H32" s="29"/>
    </row>
    <row r="33" spans="1:8" ht="12.75" customHeight="1">
      <c r="A33" s="32" t="s">
        <v>26</v>
      </c>
      <c r="B33" s="32"/>
      <c r="C33" s="20"/>
      <c r="D33" s="20"/>
      <c r="E33" s="20"/>
      <c r="F33" s="20"/>
      <c r="G33" s="19"/>
      <c r="H33" s="29"/>
    </row>
    <row r="34" spans="1:8" ht="12.75" customHeight="1">
      <c r="A34" s="32">
        <v>46843</v>
      </c>
      <c r="B34" s="32"/>
      <c r="C34" s="21">
        <f>ROUND(2.11,3)</f>
        <v>2.11</v>
      </c>
      <c r="D34" s="21">
        <f>F34</f>
        <v>2.11</v>
      </c>
      <c r="E34" s="21">
        <f>F34</f>
        <v>2.11</v>
      </c>
      <c r="F34" s="21">
        <f>ROUND(2.11,3)</f>
        <v>2.11</v>
      </c>
      <c r="G34" s="19"/>
      <c r="H34" s="29"/>
    </row>
    <row r="35" spans="1:8" ht="12.75" customHeight="1">
      <c r="A35" s="32" t="s">
        <v>27</v>
      </c>
      <c r="B35" s="32"/>
      <c r="C35" s="18"/>
      <c r="D35" s="18"/>
      <c r="E35" s="18"/>
      <c r="F35" s="18"/>
      <c r="G35" s="19"/>
      <c r="H35" s="29"/>
    </row>
    <row r="36" spans="1:8" ht="12.75" customHeight="1">
      <c r="A36" s="32">
        <v>44592</v>
      </c>
      <c r="B36" s="32"/>
      <c r="C36" s="21">
        <f>ROUND(2.06,3)</f>
        <v>2.06</v>
      </c>
      <c r="D36" s="21">
        <f>F36</f>
        <v>2.06</v>
      </c>
      <c r="E36" s="21">
        <f>F36</f>
        <v>2.06</v>
      </c>
      <c r="F36" s="21">
        <f>ROUND(2.06,3)</f>
        <v>2.06</v>
      </c>
      <c r="G36" s="19"/>
      <c r="H36" s="29"/>
    </row>
    <row r="37" spans="1:8" ht="12.75" customHeight="1">
      <c r="A37" s="32" t="s">
        <v>28</v>
      </c>
      <c r="B37" s="32"/>
      <c r="C37" s="20"/>
      <c r="D37" s="20"/>
      <c r="E37" s="20"/>
      <c r="F37" s="20"/>
      <c r="G37" s="19"/>
      <c r="H37" s="29"/>
    </row>
    <row r="38" spans="1:8" ht="12.75" customHeight="1">
      <c r="A38" s="32">
        <v>47907</v>
      </c>
      <c r="B38" s="32"/>
      <c r="C38" s="21">
        <f>ROUND(9.08,3)</f>
        <v>9.08</v>
      </c>
      <c r="D38" s="21">
        <f>F38</f>
        <v>9.08</v>
      </c>
      <c r="E38" s="21">
        <f>F38</f>
        <v>9.08</v>
      </c>
      <c r="F38" s="21">
        <f>ROUND(9.08,3)</f>
        <v>9.08</v>
      </c>
      <c r="G38" s="19"/>
      <c r="H38" s="29"/>
    </row>
    <row r="39" spans="1:8" ht="12.75" customHeight="1">
      <c r="A39" s="32" t="s">
        <v>29</v>
      </c>
      <c r="B39" s="32"/>
      <c r="C39" s="18"/>
      <c r="D39" s="18"/>
      <c r="E39" s="18"/>
      <c r="F39" s="18"/>
      <c r="G39" s="19"/>
      <c r="H39" s="29"/>
    </row>
    <row r="40" spans="1:8" ht="12.75" customHeight="1">
      <c r="A40" s="32">
        <v>42859</v>
      </c>
      <c r="B40" s="32"/>
      <c r="C40" s="22">
        <f>ROUND(2.11,5)</f>
        <v>2.11</v>
      </c>
      <c r="D40" s="22">
        <f>F40</f>
        <v>129.27048</v>
      </c>
      <c r="E40" s="22">
        <f>F40</f>
        <v>129.27048</v>
      </c>
      <c r="F40" s="22">
        <f>ROUND(129.27048,5)</f>
        <v>129.27048</v>
      </c>
      <c r="G40" s="19"/>
      <c r="H40" s="29"/>
    </row>
    <row r="41" spans="1:8" ht="12.75" customHeight="1">
      <c r="A41" s="32">
        <v>42950</v>
      </c>
      <c r="B41" s="32"/>
      <c r="C41" s="22">
        <f>ROUND(2.11,5)</f>
        <v>2.11</v>
      </c>
      <c r="D41" s="22">
        <f>F41</f>
        <v>130.42229</v>
      </c>
      <c r="E41" s="22">
        <f>F41</f>
        <v>130.42229</v>
      </c>
      <c r="F41" s="22">
        <f>ROUND(130.42229,5)</f>
        <v>130.42229</v>
      </c>
      <c r="G41" s="19"/>
      <c r="H41" s="29"/>
    </row>
    <row r="42" spans="1:8" ht="12.75" customHeight="1">
      <c r="A42" s="32">
        <v>43041</v>
      </c>
      <c r="B42" s="32"/>
      <c r="C42" s="22">
        <f>ROUND(2.11,5)</f>
        <v>2.11</v>
      </c>
      <c r="D42" s="22">
        <f>F42</f>
        <v>133.01849</v>
      </c>
      <c r="E42" s="22">
        <f>F42</f>
        <v>133.01849</v>
      </c>
      <c r="F42" s="22">
        <f>ROUND(133.01849,5)</f>
        <v>133.01849</v>
      </c>
      <c r="G42" s="19"/>
      <c r="H42" s="29"/>
    </row>
    <row r="43" spans="1:8" ht="12.75" customHeight="1">
      <c r="A43" s="32">
        <v>43132</v>
      </c>
      <c r="B43" s="32"/>
      <c r="C43" s="22">
        <f>ROUND(2.11,5)</f>
        <v>2.11</v>
      </c>
      <c r="D43" s="22">
        <f>F43</f>
        <v>135.66994</v>
      </c>
      <c r="E43" s="22">
        <f>F43</f>
        <v>135.66994</v>
      </c>
      <c r="F43" s="22">
        <f>ROUND(135.66994,5)</f>
        <v>135.66994</v>
      </c>
      <c r="G43" s="19"/>
      <c r="H43" s="29"/>
    </row>
    <row r="44" spans="1:8" ht="12.75" customHeight="1">
      <c r="A44" s="32">
        <v>43223</v>
      </c>
      <c r="B44" s="32"/>
      <c r="C44" s="22">
        <f>ROUND(2.11,5)</f>
        <v>2.11</v>
      </c>
      <c r="D44" s="22">
        <f>F44</f>
        <v>138.29312</v>
      </c>
      <c r="E44" s="22">
        <f>F44</f>
        <v>138.29312</v>
      </c>
      <c r="F44" s="22">
        <f>ROUND(138.29312,5)</f>
        <v>138.29312</v>
      </c>
      <c r="G44" s="19"/>
      <c r="H44" s="29"/>
    </row>
    <row r="45" spans="1:8" ht="12.75" customHeight="1">
      <c r="A45" s="32" t="s">
        <v>30</v>
      </c>
      <c r="B45" s="32"/>
      <c r="C45" s="20"/>
      <c r="D45" s="20"/>
      <c r="E45" s="20"/>
      <c r="F45" s="20"/>
      <c r="G45" s="19"/>
      <c r="H45" s="29"/>
    </row>
    <row r="46" spans="1:8" ht="12.75" customHeight="1">
      <c r="A46" s="32">
        <v>42859</v>
      </c>
      <c r="B46" s="32"/>
      <c r="C46" s="19">
        <f>ROUND(100.7862,2)</f>
        <v>100.79</v>
      </c>
      <c r="D46" s="19">
        <f>F46</f>
        <v>100.86</v>
      </c>
      <c r="E46" s="19">
        <f>F46</f>
        <v>100.86</v>
      </c>
      <c r="F46" s="19">
        <f>ROUND(100.86191,2)</f>
        <v>100.86</v>
      </c>
      <c r="G46" s="19"/>
      <c r="H46" s="29"/>
    </row>
    <row r="47" spans="1:8" ht="12.75" customHeight="1">
      <c r="A47" s="32">
        <v>42950</v>
      </c>
      <c r="B47" s="32"/>
      <c r="C47" s="19">
        <f>ROUND(100.7862,2)</f>
        <v>100.79</v>
      </c>
      <c r="D47" s="19">
        <f>F47</f>
        <v>102.81</v>
      </c>
      <c r="E47" s="19">
        <f>F47</f>
        <v>102.81</v>
      </c>
      <c r="F47" s="19">
        <f>ROUND(102.81022,2)</f>
        <v>102.81</v>
      </c>
      <c r="G47" s="19"/>
      <c r="H47" s="29"/>
    </row>
    <row r="48" spans="1:8" ht="12.75" customHeight="1">
      <c r="A48" s="32">
        <v>43041</v>
      </c>
      <c r="B48" s="32"/>
      <c r="C48" s="19">
        <f>ROUND(100.7862,2)</f>
        <v>100.79</v>
      </c>
      <c r="D48" s="19">
        <f>F48</f>
        <v>103.84</v>
      </c>
      <c r="E48" s="19">
        <f>F48</f>
        <v>103.84</v>
      </c>
      <c r="F48" s="19">
        <f>ROUND(103.83582,2)</f>
        <v>103.84</v>
      </c>
      <c r="G48" s="19"/>
      <c r="H48" s="29"/>
    </row>
    <row r="49" spans="1:8" ht="12.75" customHeight="1">
      <c r="A49" s="32">
        <v>43132</v>
      </c>
      <c r="B49" s="32"/>
      <c r="C49" s="19">
        <f>ROUND(100.7862,2)</f>
        <v>100.79</v>
      </c>
      <c r="D49" s="19">
        <f>F49</f>
        <v>105.94</v>
      </c>
      <c r="E49" s="19">
        <f>F49</f>
        <v>105.94</v>
      </c>
      <c r="F49" s="19">
        <f>ROUND(105.93992,2)</f>
        <v>105.94</v>
      </c>
      <c r="G49" s="19"/>
      <c r="H49" s="29"/>
    </row>
    <row r="50" spans="1:8" ht="12.75" customHeight="1">
      <c r="A50" s="32">
        <v>43223</v>
      </c>
      <c r="B50" s="32"/>
      <c r="C50" s="19">
        <f>ROUND(100.7862,2)</f>
        <v>100.79</v>
      </c>
      <c r="D50" s="19">
        <f>F50</f>
        <v>107.99</v>
      </c>
      <c r="E50" s="19">
        <f>F50</f>
        <v>107.99</v>
      </c>
      <c r="F50" s="19">
        <f>ROUND(107.9881,2)</f>
        <v>107.99</v>
      </c>
      <c r="G50" s="19"/>
      <c r="H50" s="29"/>
    </row>
    <row r="51" spans="1:8" ht="12.75" customHeight="1">
      <c r="A51" s="32" t="s">
        <v>31</v>
      </c>
      <c r="B51" s="32"/>
      <c r="C51" s="20"/>
      <c r="D51" s="20"/>
      <c r="E51" s="20"/>
      <c r="F51" s="20"/>
      <c r="G51" s="19"/>
      <c r="H51" s="29"/>
    </row>
    <row r="52" spans="1:8" ht="12.75" customHeight="1">
      <c r="A52" s="32">
        <v>42859</v>
      </c>
      <c r="B52" s="32"/>
      <c r="C52" s="22">
        <f>ROUND(9.045,5)</f>
        <v>9.045</v>
      </c>
      <c r="D52" s="22">
        <f>F52</f>
        <v>9.07149</v>
      </c>
      <c r="E52" s="22">
        <f>F52</f>
        <v>9.07149</v>
      </c>
      <c r="F52" s="22">
        <f>ROUND(9.07149,5)</f>
        <v>9.07149</v>
      </c>
      <c r="G52" s="19"/>
      <c r="H52" s="29"/>
    </row>
    <row r="53" spans="1:8" ht="12.75" customHeight="1">
      <c r="A53" s="32">
        <v>42950</v>
      </c>
      <c r="B53" s="32"/>
      <c r="C53" s="22">
        <f>ROUND(9.045,5)</f>
        <v>9.045</v>
      </c>
      <c r="D53" s="22">
        <f>F53</f>
        <v>9.11728</v>
      </c>
      <c r="E53" s="22">
        <f>F53</f>
        <v>9.11728</v>
      </c>
      <c r="F53" s="22">
        <f>ROUND(9.11728,5)</f>
        <v>9.11728</v>
      </c>
      <c r="G53" s="19"/>
      <c r="H53" s="29"/>
    </row>
    <row r="54" spans="1:8" ht="12.75" customHeight="1">
      <c r="A54" s="32">
        <v>43041</v>
      </c>
      <c r="B54" s="32"/>
      <c r="C54" s="22">
        <f>ROUND(9.045,5)</f>
        <v>9.045</v>
      </c>
      <c r="D54" s="22">
        <f>F54</f>
        <v>9.15219</v>
      </c>
      <c r="E54" s="22">
        <f>F54</f>
        <v>9.15219</v>
      </c>
      <c r="F54" s="22">
        <f>ROUND(9.15219,5)</f>
        <v>9.15219</v>
      </c>
      <c r="G54" s="19"/>
      <c r="H54" s="29"/>
    </row>
    <row r="55" spans="1:8" ht="12.75" customHeight="1">
      <c r="A55" s="32">
        <v>43132</v>
      </c>
      <c r="B55" s="32"/>
      <c r="C55" s="22">
        <f>ROUND(9.045,5)</f>
        <v>9.045</v>
      </c>
      <c r="D55" s="22">
        <f>F55</f>
        <v>9.1862</v>
      </c>
      <c r="E55" s="22">
        <f>F55</f>
        <v>9.1862</v>
      </c>
      <c r="F55" s="22">
        <f>ROUND(9.1862,5)</f>
        <v>9.1862</v>
      </c>
      <c r="G55" s="19"/>
      <c r="H55" s="29"/>
    </row>
    <row r="56" spans="1:8" ht="12.75" customHeight="1">
      <c r="A56" s="32">
        <v>43223</v>
      </c>
      <c r="B56" s="32"/>
      <c r="C56" s="22">
        <f>ROUND(9.045,5)</f>
        <v>9.045</v>
      </c>
      <c r="D56" s="22">
        <f>F56</f>
        <v>9.2339</v>
      </c>
      <c r="E56" s="22">
        <f>F56</f>
        <v>9.2339</v>
      </c>
      <c r="F56" s="22">
        <f>ROUND(9.2339,5)</f>
        <v>9.2339</v>
      </c>
      <c r="G56" s="19"/>
      <c r="H56" s="29"/>
    </row>
    <row r="57" spans="1:8" ht="12.75" customHeight="1">
      <c r="A57" s="32" t="s">
        <v>32</v>
      </c>
      <c r="B57" s="32"/>
      <c r="C57" s="18"/>
      <c r="D57" s="18"/>
      <c r="E57" s="18"/>
      <c r="F57" s="18"/>
      <c r="G57" s="19"/>
      <c r="H57" s="29"/>
    </row>
    <row r="58" spans="1:8" ht="12.75" customHeight="1">
      <c r="A58" s="32">
        <v>42859</v>
      </c>
      <c r="B58" s="32"/>
      <c r="C58" s="22">
        <f>ROUND(9.18,5)</f>
        <v>9.18</v>
      </c>
      <c r="D58" s="22">
        <f>F58</f>
        <v>9.20536</v>
      </c>
      <c r="E58" s="22">
        <f>F58</f>
        <v>9.20536</v>
      </c>
      <c r="F58" s="22">
        <f>ROUND(9.20536,5)</f>
        <v>9.20536</v>
      </c>
      <c r="G58" s="19"/>
      <c r="H58" s="29"/>
    </row>
    <row r="59" spans="1:8" ht="12.75" customHeight="1">
      <c r="A59" s="32">
        <v>42950</v>
      </c>
      <c r="B59" s="32"/>
      <c r="C59" s="22">
        <f>ROUND(9.18,5)</f>
        <v>9.18</v>
      </c>
      <c r="D59" s="22">
        <f>F59</f>
        <v>9.24888</v>
      </c>
      <c r="E59" s="22">
        <f>F59</f>
        <v>9.24888</v>
      </c>
      <c r="F59" s="22">
        <f>ROUND(9.24888,5)</f>
        <v>9.24888</v>
      </c>
      <c r="G59" s="19"/>
      <c r="H59" s="29"/>
    </row>
    <row r="60" spans="1:8" ht="12.75" customHeight="1">
      <c r="A60" s="32">
        <v>43041</v>
      </c>
      <c r="B60" s="32"/>
      <c r="C60" s="22">
        <f>ROUND(9.18,5)</f>
        <v>9.18</v>
      </c>
      <c r="D60" s="22">
        <f>F60</f>
        <v>9.28797</v>
      </c>
      <c r="E60" s="22">
        <f>F60</f>
        <v>9.28797</v>
      </c>
      <c r="F60" s="22">
        <f>ROUND(9.28797,5)</f>
        <v>9.28797</v>
      </c>
      <c r="G60" s="19"/>
      <c r="H60" s="29"/>
    </row>
    <row r="61" spans="1:8" ht="12.75" customHeight="1">
      <c r="A61" s="32">
        <v>43132</v>
      </c>
      <c r="B61" s="32"/>
      <c r="C61" s="22">
        <f>ROUND(9.18,5)</f>
        <v>9.18</v>
      </c>
      <c r="D61" s="22">
        <f>F61</f>
        <v>9.32617</v>
      </c>
      <c r="E61" s="22">
        <f>F61</f>
        <v>9.32617</v>
      </c>
      <c r="F61" s="22">
        <f>ROUND(9.32617,5)</f>
        <v>9.32617</v>
      </c>
      <c r="G61" s="19"/>
      <c r="H61" s="29"/>
    </row>
    <row r="62" spans="1:8" ht="12.75" customHeight="1">
      <c r="A62" s="32">
        <v>43223</v>
      </c>
      <c r="B62" s="32"/>
      <c r="C62" s="22">
        <f>ROUND(9.18,5)</f>
        <v>9.18</v>
      </c>
      <c r="D62" s="22">
        <f>F62</f>
        <v>9.37275</v>
      </c>
      <c r="E62" s="22">
        <f>F62</f>
        <v>9.37275</v>
      </c>
      <c r="F62" s="22">
        <f>ROUND(9.37275,5)</f>
        <v>9.37275</v>
      </c>
      <c r="G62" s="19"/>
      <c r="H62" s="29"/>
    </row>
    <row r="63" spans="1:8" ht="12.75" customHeight="1">
      <c r="A63" s="32" t="s">
        <v>33</v>
      </c>
      <c r="B63" s="32"/>
      <c r="C63" s="20"/>
      <c r="D63" s="20"/>
      <c r="E63" s="20"/>
      <c r="F63" s="20"/>
      <c r="G63" s="19"/>
      <c r="H63" s="29"/>
    </row>
    <row r="64" spans="1:8" ht="12.75" customHeight="1">
      <c r="A64" s="32">
        <v>42859</v>
      </c>
      <c r="B64" s="32"/>
      <c r="C64" s="22">
        <f>ROUND(105.41829,5)</f>
        <v>105.41829</v>
      </c>
      <c r="D64" s="22">
        <f>F64</f>
        <v>106.51579</v>
      </c>
      <c r="E64" s="22">
        <f>F64</f>
        <v>106.51579</v>
      </c>
      <c r="F64" s="22">
        <f>ROUND(106.51579,5)</f>
        <v>106.51579</v>
      </c>
      <c r="G64" s="19"/>
      <c r="H64" s="29"/>
    </row>
    <row r="65" spans="1:8" ht="12.75" customHeight="1">
      <c r="A65" s="32">
        <v>42950</v>
      </c>
      <c r="B65" s="32"/>
      <c r="C65" s="22">
        <f>ROUND(105.41829,5)</f>
        <v>105.41829</v>
      </c>
      <c r="D65" s="22">
        <f>F65</f>
        <v>108.57333</v>
      </c>
      <c r="E65" s="22">
        <f>F65</f>
        <v>108.57333</v>
      </c>
      <c r="F65" s="22">
        <f>ROUND(108.57333,5)</f>
        <v>108.57333</v>
      </c>
      <c r="G65" s="19"/>
      <c r="H65" s="29"/>
    </row>
    <row r="66" spans="1:8" ht="12.75" customHeight="1">
      <c r="A66" s="32">
        <v>43041</v>
      </c>
      <c r="B66" s="32"/>
      <c r="C66" s="22">
        <f>ROUND(105.41829,5)</f>
        <v>105.41829</v>
      </c>
      <c r="D66" s="22">
        <f>F66</f>
        <v>109.6443</v>
      </c>
      <c r="E66" s="22">
        <f>F66</f>
        <v>109.6443</v>
      </c>
      <c r="F66" s="22">
        <f>ROUND(109.6443,5)</f>
        <v>109.6443</v>
      </c>
      <c r="G66" s="19"/>
      <c r="H66" s="29"/>
    </row>
    <row r="67" spans="1:8" ht="12.75" customHeight="1">
      <c r="A67" s="32">
        <v>43132</v>
      </c>
      <c r="B67" s="32"/>
      <c r="C67" s="22">
        <f>ROUND(105.41829,5)</f>
        <v>105.41829</v>
      </c>
      <c r="D67" s="22">
        <f>F67</f>
        <v>111.86611</v>
      </c>
      <c r="E67" s="22">
        <f>F67</f>
        <v>111.86611</v>
      </c>
      <c r="F67" s="22">
        <f>ROUND(111.86611,5)</f>
        <v>111.86611</v>
      </c>
      <c r="G67" s="19"/>
      <c r="H67" s="29"/>
    </row>
    <row r="68" spans="1:8" ht="12.75" customHeight="1">
      <c r="A68" s="32">
        <v>43223</v>
      </c>
      <c r="B68" s="32"/>
      <c r="C68" s="22">
        <f>ROUND(105.41829,5)</f>
        <v>105.41829</v>
      </c>
      <c r="D68" s="22">
        <f>F68</f>
        <v>114.029</v>
      </c>
      <c r="E68" s="22">
        <f>F68</f>
        <v>114.029</v>
      </c>
      <c r="F68" s="22">
        <f>ROUND(114.029,5)</f>
        <v>114.029</v>
      </c>
      <c r="G68" s="19"/>
      <c r="H68" s="29"/>
    </row>
    <row r="69" spans="1:8" ht="12.75" customHeight="1">
      <c r="A69" s="32" t="s">
        <v>34</v>
      </c>
      <c r="B69" s="32"/>
      <c r="C69" s="20"/>
      <c r="D69" s="20"/>
      <c r="E69" s="20"/>
      <c r="F69" s="20"/>
      <c r="G69" s="19"/>
      <c r="H69" s="29"/>
    </row>
    <row r="70" spans="1:8" ht="12.75" customHeight="1">
      <c r="A70" s="32">
        <v>42859</v>
      </c>
      <c r="B70" s="32"/>
      <c r="C70" s="22">
        <f>ROUND(9.41,5)</f>
        <v>9.41</v>
      </c>
      <c r="D70" s="22">
        <f>F70</f>
        <v>9.43788</v>
      </c>
      <c r="E70" s="22">
        <f>F70</f>
        <v>9.43788</v>
      </c>
      <c r="F70" s="22">
        <f>ROUND(9.43788,5)</f>
        <v>9.43788</v>
      </c>
      <c r="G70" s="19"/>
      <c r="H70" s="29"/>
    </row>
    <row r="71" spans="1:8" ht="12.75" customHeight="1">
      <c r="A71" s="32">
        <v>42950</v>
      </c>
      <c r="B71" s="32"/>
      <c r="C71" s="22">
        <f>ROUND(9.41,5)</f>
        <v>9.41</v>
      </c>
      <c r="D71" s="22">
        <f>F71</f>
        <v>9.48668</v>
      </c>
      <c r="E71" s="22">
        <f>F71</f>
        <v>9.48668</v>
      </c>
      <c r="F71" s="22">
        <f>ROUND(9.48668,5)</f>
        <v>9.48668</v>
      </c>
      <c r="G71" s="19"/>
      <c r="H71" s="29"/>
    </row>
    <row r="72" spans="1:8" ht="12.75" customHeight="1">
      <c r="A72" s="32">
        <v>43041</v>
      </c>
      <c r="B72" s="32"/>
      <c r="C72" s="22">
        <f>ROUND(9.41,5)</f>
        <v>9.41</v>
      </c>
      <c r="D72" s="22">
        <f>F72</f>
        <v>9.52591</v>
      </c>
      <c r="E72" s="22">
        <f>F72</f>
        <v>9.52591</v>
      </c>
      <c r="F72" s="22">
        <f>ROUND(9.52591,5)</f>
        <v>9.52591</v>
      </c>
      <c r="G72" s="19"/>
      <c r="H72" s="29"/>
    </row>
    <row r="73" spans="1:8" ht="12.75" customHeight="1">
      <c r="A73" s="32">
        <v>43132</v>
      </c>
      <c r="B73" s="32"/>
      <c r="C73" s="22">
        <f>ROUND(9.41,5)</f>
        <v>9.41</v>
      </c>
      <c r="D73" s="22">
        <f>F73</f>
        <v>9.56465</v>
      </c>
      <c r="E73" s="22">
        <f>F73</f>
        <v>9.56465</v>
      </c>
      <c r="F73" s="22">
        <f>ROUND(9.56465,5)</f>
        <v>9.56465</v>
      </c>
      <c r="G73" s="19"/>
      <c r="H73" s="29"/>
    </row>
    <row r="74" spans="1:8" ht="12.75" customHeight="1">
      <c r="A74" s="32">
        <v>43223</v>
      </c>
      <c r="B74" s="32"/>
      <c r="C74" s="22">
        <f>ROUND(9.41,5)</f>
        <v>9.41</v>
      </c>
      <c r="D74" s="22">
        <f>F74</f>
        <v>9.6147</v>
      </c>
      <c r="E74" s="22">
        <f>F74</f>
        <v>9.6147</v>
      </c>
      <c r="F74" s="22">
        <f>ROUND(9.6147,5)</f>
        <v>9.6147</v>
      </c>
      <c r="G74" s="19"/>
      <c r="H74" s="29"/>
    </row>
    <row r="75" spans="1:8" ht="12.75" customHeight="1">
      <c r="A75" s="32" t="s">
        <v>35</v>
      </c>
      <c r="B75" s="32"/>
      <c r="C75" s="20"/>
      <c r="D75" s="20"/>
      <c r="E75" s="20"/>
      <c r="F75" s="20"/>
      <c r="G75" s="19"/>
      <c r="H75" s="29"/>
    </row>
    <row r="76" spans="1:8" ht="12.75" customHeight="1">
      <c r="A76" s="32">
        <v>42859</v>
      </c>
      <c r="B76" s="32"/>
      <c r="C76" s="22">
        <f>ROUND(2.09,5)</f>
        <v>2.09</v>
      </c>
      <c r="D76" s="22">
        <f>F76</f>
        <v>133.84679</v>
      </c>
      <c r="E76" s="22">
        <f>F76</f>
        <v>133.84679</v>
      </c>
      <c r="F76" s="22">
        <f>ROUND(133.84679,5)</f>
        <v>133.84679</v>
      </c>
      <c r="G76" s="19"/>
      <c r="H76" s="29"/>
    </row>
    <row r="77" spans="1:8" ht="12.75" customHeight="1">
      <c r="A77" s="32">
        <v>42950</v>
      </c>
      <c r="B77" s="32"/>
      <c r="C77" s="22">
        <f>ROUND(2.09,5)</f>
        <v>2.09</v>
      </c>
      <c r="D77" s="22">
        <f>F77</f>
        <v>134.91874</v>
      </c>
      <c r="E77" s="22">
        <f>F77</f>
        <v>134.91874</v>
      </c>
      <c r="F77" s="22">
        <f>ROUND(134.91874,5)</f>
        <v>134.91874</v>
      </c>
      <c r="G77" s="19"/>
      <c r="H77" s="29"/>
    </row>
    <row r="78" spans="1:8" ht="12.75" customHeight="1">
      <c r="A78" s="32">
        <v>43041</v>
      </c>
      <c r="B78" s="32"/>
      <c r="C78" s="22">
        <f>ROUND(2.09,5)</f>
        <v>2.09</v>
      </c>
      <c r="D78" s="22">
        <f>F78</f>
        <v>137.60452</v>
      </c>
      <c r="E78" s="22">
        <f>F78</f>
        <v>137.60452</v>
      </c>
      <c r="F78" s="22">
        <f>ROUND(137.60452,5)</f>
        <v>137.60452</v>
      </c>
      <c r="G78" s="19"/>
      <c r="H78" s="29"/>
    </row>
    <row r="79" spans="1:8" ht="12.75" customHeight="1">
      <c r="A79" s="32">
        <v>43132</v>
      </c>
      <c r="B79" s="32"/>
      <c r="C79" s="22">
        <f>ROUND(2.09,5)</f>
        <v>2.09</v>
      </c>
      <c r="D79" s="22">
        <f>F79</f>
        <v>140.3434</v>
      </c>
      <c r="E79" s="22">
        <f>F79</f>
        <v>140.3434</v>
      </c>
      <c r="F79" s="22">
        <f>ROUND(140.3434,5)</f>
        <v>140.3434</v>
      </c>
      <c r="G79" s="19"/>
      <c r="H79" s="29"/>
    </row>
    <row r="80" spans="1:8" ht="12.75" customHeight="1">
      <c r="A80" s="32">
        <v>43223</v>
      </c>
      <c r="B80" s="32"/>
      <c r="C80" s="22">
        <f>ROUND(2.09,5)</f>
        <v>2.09</v>
      </c>
      <c r="D80" s="22">
        <f>F80</f>
        <v>143.05689</v>
      </c>
      <c r="E80" s="22">
        <f>F80</f>
        <v>143.05689</v>
      </c>
      <c r="F80" s="22">
        <f>ROUND(143.05689,5)</f>
        <v>143.05689</v>
      </c>
      <c r="G80" s="19"/>
      <c r="H80" s="29"/>
    </row>
    <row r="81" spans="1:8" ht="12.75" customHeight="1">
      <c r="A81" s="32" t="s">
        <v>36</v>
      </c>
      <c r="B81" s="32"/>
      <c r="C81" s="23"/>
      <c r="D81" s="23"/>
      <c r="E81" s="23"/>
      <c r="F81" s="23"/>
      <c r="G81" s="19"/>
      <c r="H81" s="29"/>
    </row>
    <row r="82" spans="1:8" ht="12.75" customHeight="1">
      <c r="A82" s="32">
        <v>42859</v>
      </c>
      <c r="B82" s="32"/>
      <c r="C82" s="22">
        <f>ROUND(9.415,5)</f>
        <v>9.415</v>
      </c>
      <c r="D82" s="22">
        <f>F82</f>
        <v>9.44203</v>
      </c>
      <c r="E82" s="22">
        <f>F82</f>
        <v>9.44203</v>
      </c>
      <c r="F82" s="22">
        <f>ROUND(9.44203,5)</f>
        <v>9.44203</v>
      </c>
      <c r="G82" s="19"/>
      <c r="H82" s="29"/>
    </row>
    <row r="83" spans="1:8" ht="12.75" customHeight="1">
      <c r="A83" s="32">
        <v>42950</v>
      </c>
      <c r="B83" s="32"/>
      <c r="C83" s="22">
        <f>ROUND(9.415,5)</f>
        <v>9.415</v>
      </c>
      <c r="D83" s="22">
        <f>F83</f>
        <v>9.48929</v>
      </c>
      <c r="E83" s="22">
        <f>F83</f>
        <v>9.48929</v>
      </c>
      <c r="F83" s="22">
        <f>ROUND(9.48929,5)</f>
        <v>9.48929</v>
      </c>
      <c r="G83" s="19"/>
      <c r="H83" s="29"/>
    </row>
    <row r="84" spans="1:8" ht="12.75" customHeight="1">
      <c r="A84" s="32">
        <v>43041</v>
      </c>
      <c r="B84" s="32"/>
      <c r="C84" s="22">
        <f>ROUND(9.415,5)</f>
        <v>9.415</v>
      </c>
      <c r="D84" s="22">
        <f>F84</f>
        <v>9.52722</v>
      </c>
      <c r="E84" s="22">
        <f>F84</f>
        <v>9.52722</v>
      </c>
      <c r="F84" s="22">
        <f>ROUND(9.52722,5)</f>
        <v>9.52722</v>
      </c>
      <c r="G84" s="19"/>
      <c r="H84" s="29"/>
    </row>
    <row r="85" spans="1:8" ht="12.75" customHeight="1">
      <c r="A85" s="32">
        <v>43132</v>
      </c>
      <c r="B85" s="32"/>
      <c r="C85" s="22">
        <f>ROUND(9.415,5)</f>
        <v>9.415</v>
      </c>
      <c r="D85" s="22">
        <f>F85</f>
        <v>9.56462</v>
      </c>
      <c r="E85" s="22">
        <f>F85</f>
        <v>9.56462</v>
      </c>
      <c r="F85" s="22">
        <f>ROUND(9.56462,5)</f>
        <v>9.56462</v>
      </c>
      <c r="G85" s="19"/>
      <c r="H85" s="29"/>
    </row>
    <row r="86" spans="1:8" ht="12.75" customHeight="1">
      <c r="A86" s="32">
        <v>43223</v>
      </c>
      <c r="B86" s="32"/>
      <c r="C86" s="22">
        <f>ROUND(9.415,5)</f>
        <v>9.415</v>
      </c>
      <c r="D86" s="22">
        <f>F86</f>
        <v>9.61283</v>
      </c>
      <c r="E86" s="22">
        <f>F86</f>
        <v>9.61283</v>
      </c>
      <c r="F86" s="22">
        <f>ROUND(9.61283,5)</f>
        <v>9.61283</v>
      </c>
      <c r="G86" s="19"/>
      <c r="H86" s="29"/>
    </row>
    <row r="87" spans="1:8" ht="12.75" customHeight="1">
      <c r="A87" s="32" t="s">
        <v>37</v>
      </c>
      <c r="B87" s="32"/>
      <c r="C87" s="20"/>
      <c r="D87" s="20"/>
      <c r="E87" s="20"/>
      <c r="F87" s="20"/>
      <c r="G87" s="19"/>
      <c r="H87" s="29"/>
    </row>
    <row r="88" spans="1:8" ht="12.75" customHeight="1">
      <c r="A88" s="32">
        <v>42859</v>
      </c>
      <c r="B88" s="32"/>
      <c r="C88" s="22">
        <f>ROUND(9.455,5)</f>
        <v>9.455</v>
      </c>
      <c r="D88" s="22">
        <f>F88</f>
        <v>9.48146</v>
      </c>
      <c r="E88" s="22">
        <f>F88</f>
        <v>9.48146</v>
      </c>
      <c r="F88" s="22">
        <f>ROUND(9.48146,5)</f>
        <v>9.48146</v>
      </c>
      <c r="G88" s="19"/>
      <c r="H88" s="29"/>
    </row>
    <row r="89" spans="1:8" ht="12.75" customHeight="1">
      <c r="A89" s="32">
        <v>42950</v>
      </c>
      <c r="B89" s="32"/>
      <c r="C89" s="22">
        <f>ROUND(9.455,5)</f>
        <v>9.455</v>
      </c>
      <c r="D89" s="22">
        <f>F89</f>
        <v>9.52773</v>
      </c>
      <c r="E89" s="22">
        <f>F89</f>
        <v>9.52773</v>
      </c>
      <c r="F89" s="22">
        <f>ROUND(9.52773,5)</f>
        <v>9.52773</v>
      </c>
      <c r="G89" s="19"/>
      <c r="H89" s="29"/>
    </row>
    <row r="90" spans="1:8" ht="12.75" customHeight="1">
      <c r="A90" s="32">
        <v>43041</v>
      </c>
      <c r="B90" s="32"/>
      <c r="C90" s="22">
        <f>ROUND(9.455,5)</f>
        <v>9.455</v>
      </c>
      <c r="D90" s="22">
        <f>F90</f>
        <v>9.56498</v>
      </c>
      <c r="E90" s="22">
        <f>F90</f>
        <v>9.56498</v>
      </c>
      <c r="F90" s="22">
        <f>ROUND(9.56498,5)</f>
        <v>9.56498</v>
      </c>
      <c r="G90" s="19"/>
      <c r="H90" s="29"/>
    </row>
    <row r="91" spans="1:8" ht="12.75" customHeight="1">
      <c r="A91" s="32">
        <v>43132</v>
      </c>
      <c r="B91" s="32"/>
      <c r="C91" s="22">
        <f>ROUND(9.455,5)</f>
        <v>9.455</v>
      </c>
      <c r="D91" s="22">
        <f>F91</f>
        <v>9.6017</v>
      </c>
      <c r="E91" s="22">
        <f>F91</f>
        <v>9.6017</v>
      </c>
      <c r="F91" s="22">
        <f>ROUND(9.6017,5)</f>
        <v>9.6017</v>
      </c>
      <c r="G91" s="19"/>
      <c r="H91" s="29"/>
    </row>
    <row r="92" spans="1:8" ht="12.75" customHeight="1">
      <c r="A92" s="32">
        <v>43223</v>
      </c>
      <c r="B92" s="32"/>
      <c r="C92" s="22">
        <f>ROUND(9.455,5)</f>
        <v>9.455</v>
      </c>
      <c r="D92" s="22">
        <f>F92</f>
        <v>9.64869</v>
      </c>
      <c r="E92" s="22">
        <f>F92</f>
        <v>9.64869</v>
      </c>
      <c r="F92" s="22">
        <f>ROUND(9.64869,5)</f>
        <v>9.64869</v>
      </c>
      <c r="G92" s="19"/>
      <c r="H92" s="29"/>
    </row>
    <row r="93" spans="1:8" ht="12.75" customHeight="1">
      <c r="A93" s="32" t="s">
        <v>38</v>
      </c>
      <c r="B93" s="32"/>
      <c r="C93" s="20"/>
      <c r="D93" s="20"/>
      <c r="E93" s="20"/>
      <c r="F93" s="20"/>
      <c r="G93" s="19"/>
      <c r="H93" s="29"/>
    </row>
    <row r="94" spans="1:8" ht="12.75" customHeight="1">
      <c r="A94" s="32">
        <v>42859</v>
      </c>
      <c r="B94" s="32"/>
      <c r="C94" s="22">
        <f>ROUND(131.50348,5)</f>
        <v>131.50348</v>
      </c>
      <c r="D94" s="22">
        <f>F94</f>
        <v>131.34285</v>
      </c>
      <c r="E94" s="22">
        <f>F94</f>
        <v>131.34285</v>
      </c>
      <c r="F94" s="22">
        <f>ROUND(131.34285,5)</f>
        <v>131.34285</v>
      </c>
      <c r="G94" s="19"/>
      <c r="H94" s="29"/>
    </row>
    <row r="95" spans="1:8" ht="12.75" customHeight="1">
      <c r="A95" s="32">
        <v>42950</v>
      </c>
      <c r="B95" s="32"/>
      <c r="C95" s="22">
        <f>ROUND(131.50348,5)</f>
        <v>131.50348</v>
      </c>
      <c r="D95" s="22">
        <f>F95</f>
        <v>133.87996</v>
      </c>
      <c r="E95" s="22">
        <f>F95</f>
        <v>133.87996</v>
      </c>
      <c r="F95" s="22">
        <f>ROUND(133.87996,5)</f>
        <v>133.87996</v>
      </c>
      <c r="G95" s="19"/>
      <c r="H95" s="29"/>
    </row>
    <row r="96" spans="1:8" ht="12.75" customHeight="1">
      <c r="A96" s="32">
        <v>43041</v>
      </c>
      <c r="B96" s="32"/>
      <c r="C96" s="22">
        <f>ROUND(131.50348,5)</f>
        <v>131.50348</v>
      </c>
      <c r="D96" s="22">
        <f>F96</f>
        <v>134.94072</v>
      </c>
      <c r="E96" s="22">
        <f>F96</f>
        <v>134.94072</v>
      </c>
      <c r="F96" s="22">
        <f>ROUND(134.94072,5)</f>
        <v>134.94072</v>
      </c>
      <c r="G96" s="19"/>
      <c r="H96" s="29"/>
    </row>
    <row r="97" spans="1:8" ht="12.75" customHeight="1">
      <c r="A97" s="32">
        <v>43132</v>
      </c>
      <c r="B97" s="32"/>
      <c r="C97" s="22">
        <f>ROUND(131.50348,5)</f>
        <v>131.50348</v>
      </c>
      <c r="D97" s="22">
        <f>F97</f>
        <v>137.67507</v>
      </c>
      <c r="E97" s="22">
        <f>F97</f>
        <v>137.67507</v>
      </c>
      <c r="F97" s="22">
        <f>ROUND(137.67507,5)</f>
        <v>137.67507</v>
      </c>
      <c r="G97" s="19"/>
      <c r="H97" s="29"/>
    </row>
    <row r="98" spans="1:8" ht="12.75" customHeight="1">
      <c r="A98" s="32">
        <v>43223</v>
      </c>
      <c r="B98" s="32"/>
      <c r="C98" s="22">
        <f>ROUND(131.50348,5)</f>
        <v>131.50348</v>
      </c>
      <c r="D98" s="22">
        <f>F98</f>
        <v>140.33663</v>
      </c>
      <c r="E98" s="22">
        <f>F98</f>
        <v>140.33663</v>
      </c>
      <c r="F98" s="22">
        <f>ROUND(140.33663,5)</f>
        <v>140.33663</v>
      </c>
      <c r="G98" s="19"/>
      <c r="H98" s="29"/>
    </row>
    <row r="99" spans="1:8" ht="12.75" customHeight="1">
      <c r="A99" s="32" t="s">
        <v>39</v>
      </c>
      <c r="B99" s="32"/>
      <c r="C99" s="20"/>
      <c r="D99" s="20"/>
      <c r="E99" s="20"/>
      <c r="F99" s="20"/>
      <c r="G99" s="19"/>
      <c r="H99" s="29"/>
    </row>
    <row r="100" spans="1:8" ht="12.75" customHeight="1">
      <c r="A100" s="32">
        <v>42859</v>
      </c>
      <c r="B100" s="32"/>
      <c r="C100" s="22">
        <f>ROUND(2.11,5)</f>
        <v>2.11</v>
      </c>
      <c r="D100" s="22">
        <f>F100</f>
        <v>142.73397</v>
      </c>
      <c r="E100" s="22">
        <f>F100</f>
        <v>142.73397</v>
      </c>
      <c r="F100" s="22">
        <f>ROUND(142.73397,5)</f>
        <v>142.73397</v>
      </c>
      <c r="G100" s="19"/>
      <c r="H100" s="29"/>
    </row>
    <row r="101" spans="1:8" ht="12.75" customHeight="1">
      <c r="A101" s="32">
        <v>42950</v>
      </c>
      <c r="B101" s="32"/>
      <c r="C101" s="22">
        <f>ROUND(2.11,5)</f>
        <v>2.11</v>
      </c>
      <c r="D101" s="22">
        <f>F101</f>
        <v>143.81247</v>
      </c>
      <c r="E101" s="22">
        <f>F101</f>
        <v>143.81247</v>
      </c>
      <c r="F101" s="22">
        <f>ROUND(143.81247,5)</f>
        <v>143.81247</v>
      </c>
      <c r="G101" s="19"/>
      <c r="H101" s="29"/>
    </row>
    <row r="102" spans="1:8" ht="12.75" customHeight="1">
      <c r="A102" s="32">
        <v>43041</v>
      </c>
      <c r="B102" s="32"/>
      <c r="C102" s="22">
        <f>ROUND(2.11,5)</f>
        <v>2.11</v>
      </c>
      <c r="D102" s="22">
        <f>F102</f>
        <v>146.67522</v>
      </c>
      <c r="E102" s="22">
        <f>F102</f>
        <v>146.67522</v>
      </c>
      <c r="F102" s="22">
        <f>ROUND(146.67522,5)</f>
        <v>146.67522</v>
      </c>
      <c r="G102" s="19"/>
      <c r="H102" s="29"/>
    </row>
    <row r="103" spans="1:8" ht="12.75" customHeight="1">
      <c r="A103" s="32">
        <v>43132</v>
      </c>
      <c r="B103" s="32"/>
      <c r="C103" s="22">
        <f>ROUND(2.11,5)</f>
        <v>2.11</v>
      </c>
      <c r="D103" s="22">
        <f>F103</f>
        <v>147.93204</v>
      </c>
      <c r="E103" s="22">
        <f>F103</f>
        <v>147.93204</v>
      </c>
      <c r="F103" s="22">
        <f>ROUND(147.93204,5)</f>
        <v>147.93204</v>
      </c>
      <c r="G103" s="19"/>
      <c r="H103" s="29"/>
    </row>
    <row r="104" spans="1:8" ht="12.75" customHeight="1">
      <c r="A104" s="32">
        <v>43223</v>
      </c>
      <c r="B104" s="32"/>
      <c r="C104" s="22">
        <f>ROUND(2.11,5)</f>
        <v>2.11</v>
      </c>
      <c r="D104" s="22">
        <f>F104</f>
        <v>150.79096</v>
      </c>
      <c r="E104" s="22">
        <f>F104</f>
        <v>150.79096</v>
      </c>
      <c r="F104" s="22">
        <f>ROUND(150.79096,5)</f>
        <v>150.79096</v>
      </c>
      <c r="G104" s="19"/>
      <c r="H104" s="29"/>
    </row>
    <row r="105" spans="1:8" ht="12.75" customHeight="1">
      <c r="A105" s="32" t="s">
        <v>40</v>
      </c>
      <c r="B105" s="32"/>
      <c r="C105" s="20"/>
      <c r="D105" s="20"/>
      <c r="E105" s="20"/>
      <c r="F105" s="20"/>
      <c r="G105" s="19"/>
      <c r="H105" s="29"/>
    </row>
    <row r="106" spans="1:8" ht="12.75" customHeight="1">
      <c r="A106" s="32">
        <v>42859</v>
      </c>
      <c r="B106" s="32"/>
      <c r="C106" s="22">
        <f aca="true" t="shared" si="0" ref="C106:C115">ROUND(2.77,5)</f>
        <v>2.77</v>
      </c>
      <c r="D106" s="22">
        <f aca="true" t="shared" si="1" ref="D106:D115">F106</f>
        <v>128.96829</v>
      </c>
      <c r="E106" s="22">
        <f aca="true" t="shared" si="2" ref="E106:E115">F106</f>
        <v>128.96829</v>
      </c>
      <c r="F106" s="22">
        <f>ROUND(128.96829,5)</f>
        <v>128.96829</v>
      </c>
      <c r="G106" s="19"/>
      <c r="H106" s="29"/>
    </row>
    <row r="107" spans="1:8" ht="12.75" customHeight="1">
      <c r="A107" s="32">
        <v>42859</v>
      </c>
      <c r="B107" s="32"/>
      <c r="C107" s="22">
        <f t="shared" si="0"/>
        <v>2.77</v>
      </c>
      <c r="D107" s="22">
        <f t="shared" si="1"/>
        <v>128.96829</v>
      </c>
      <c r="E107" s="22">
        <f t="shared" si="2"/>
        <v>128.96829</v>
      </c>
      <c r="F107" s="22">
        <f>ROUND(128.96829,5)</f>
        <v>128.96829</v>
      </c>
      <c r="G107" s="19"/>
      <c r="H107" s="29"/>
    </row>
    <row r="108" spans="1:8" ht="12.75" customHeight="1">
      <c r="A108" s="32">
        <v>42950</v>
      </c>
      <c r="B108" s="32"/>
      <c r="C108" s="22">
        <f t="shared" si="0"/>
        <v>2.77</v>
      </c>
      <c r="D108" s="22">
        <f t="shared" si="1"/>
        <v>131.4595</v>
      </c>
      <c r="E108" s="22">
        <f t="shared" si="2"/>
        <v>131.4595</v>
      </c>
      <c r="F108" s="22">
        <f>ROUND(131.4595,5)</f>
        <v>131.4595</v>
      </c>
      <c r="G108" s="19"/>
      <c r="H108" s="29"/>
    </row>
    <row r="109" spans="1:8" ht="12.75" customHeight="1">
      <c r="A109" s="32">
        <v>42950</v>
      </c>
      <c r="B109" s="32"/>
      <c r="C109" s="22">
        <f t="shared" si="0"/>
        <v>2.77</v>
      </c>
      <c r="D109" s="22">
        <f t="shared" si="1"/>
        <v>131.4595</v>
      </c>
      <c r="E109" s="22">
        <f t="shared" si="2"/>
        <v>131.4595</v>
      </c>
      <c r="F109" s="22">
        <f>ROUND(131.4595,5)</f>
        <v>131.4595</v>
      </c>
      <c r="G109" s="19"/>
      <c r="H109" s="29"/>
    </row>
    <row r="110" spans="1:8" ht="12.75" customHeight="1">
      <c r="A110" s="32">
        <v>43041</v>
      </c>
      <c r="B110" s="32"/>
      <c r="C110" s="22">
        <f t="shared" si="0"/>
        <v>2.77</v>
      </c>
      <c r="D110" s="22">
        <f t="shared" si="1"/>
        <v>132.30935</v>
      </c>
      <c r="E110" s="22">
        <f t="shared" si="2"/>
        <v>132.30935</v>
      </c>
      <c r="F110" s="22">
        <f>ROUND(132.30935,5)</f>
        <v>132.30935</v>
      </c>
      <c r="G110" s="19"/>
      <c r="H110" s="29"/>
    </row>
    <row r="111" spans="1:8" ht="12.75" customHeight="1">
      <c r="A111" s="32">
        <v>43041</v>
      </c>
      <c r="B111" s="32"/>
      <c r="C111" s="22">
        <f t="shared" si="0"/>
        <v>2.77</v>
      </c>
      <c r="D111" s="22">
        <f t="shared" si="1"/>
        <v>132.30935</v>
      </c>
      <c r="E111" s="22">
        <f t="shared" si="2"/>
        <v>132.30935</v>
      </c>
      <c r="F111" s="22">
        <f>ROUND(132.30935,5)</f>
        <v>132.30935</v>
      </c>
      <c r="G111" s="19"/>
      <c r="H111" s="29"/>
    </row>
    <row r="112" spans="1:8" ht="12.75" customHeight="1">
      <c r="A112" s="32">
        <v>43132</v>
      </c>
      <c r="B112" s="32"/>
      <c r="C112" s="22">
        <f t="shared" si="0"/>
        <v>2.77</v>
      </c>
      <c r="D112" s="22">
        <f t="shared" si="1"/>
        <v>134.99048</v>
      </c>
      <c r="E112" s="22">
        <f t="shared" si="2"/>
        <v>134.99048</v>
      </c>
      <c r="F112" s="22">
        <f>ROUND(134.99048,5)</f>
        <v>134.99048</v>
      </c>
      <c r="G112" s="19"/>
      <c r="H112" s="29"/>
    </row>
    <row r="113" spans="1:8" ht="12.75" customHeight="1">
      <c r="A113" s="32">
        <v>43132</v>
      </c>
      <c r="B113" s="32"/>
      <c r="C113" s="22">
        <f t="shared" si="0"/>
        <v>2.77</v>
      </c>
      <c r="D113" s="22">
        <f t="shared" si="1"/>
        <v>134.99048</v>
      </c>
      <c r="E113" s="22">
        <f t="shared" si="2"/>
        <v>134.99048</v>
      </c>
      <c r="F113" s="22">
        <f>ROUND(134.99048,5)</f>
        <v>134.99048</v>
      </c>
      <c r="G113" s="19"/>
      <c r="H113" s="29"/>
    </row>
    <row r="114" spans="1:8" ht="12.75" customHeight="1">
      <c r="A114" s="32">
        <v>43223</v>
      </c>
      <c r="B114" s="32"/>
      <c r="C114" s="22">
        <f t="shared" si="0"/>
        <v>2.77</v>
      </c>
      <c r="D114" s="22">
        <f t="shared" si="1"/>
        <v>137.59967</v>
      </c>
      <c r="E114" s="22">
        <f t="shared" si="2"/>
        <v>137.59967</v>
      </c>
      <c r="F114" s="22">
        <f>ROUND(137.59967,5)</f>
        <v>137.59967</v>
      </c>
      <c r="G114" s="19"/>
      <c r="H114" s="29"/>
    </row>
    <row r="115" spans="1:8" ht="12.75" customHeight="1">
      <c r="A115" s="32">
        <v>43223</v>
      </c>
      <c r="B115" s="32"/>
      <c r="C115" s="22">
        <f t="shared" si="0"/>
        <v>2.77</v>
      </c>
      <c r="D115" s="22">
        <f t="shared" si="1"/>
        <v>137.59967</v>
      </c>
      <c r="E115" s="22">
        <f t="shared" si="2"/>
        <v>137.59967</v>
      </c>
      <c r="F115" s="22">
        <f>ROUND(137.59967,5)</f>
        <v>137.59967</v>
      </c>
      <c r="G115" s="19"/>
      <c r="H115" s="29"/>
    </row>
    <row r="116" spans="1:8" ht="12.75" customHeight="1">
      <c r="A116" s="32" t="s">
        <v>41</v>
      </c>
      <c r="B116" s="32"/>
      <c r="C116" s="20"/>
      <c r="D116" s="20"/>
      <c r="E116" s="20"/>
      <c r="F116" s="20"/>
      <c r="G116" s="19"/>
      <c r="H116" s="29"/>
    </row>
    <row r="117" spans="1:8" ht="12.75" customHeight="1">
      <c r="A117" s="32">
        <v>42859</v>
      </c>
      <c r="B117" s="32"/>
      <c r="C117" s="22">
        <f>ROUND(10.335,5)</f>
        <v>10.335</v>
      </c>
      <c r="D117" s="22">
        <f>F117</f>
        <v>10.37706</v>
      </c>
      <c r="E117" s="22">
        <f>F117</f>
        <v>10.37706</v>
      </c>
      <c r="F117" s="22">
        <f>ROUND(10.37706,5)</f>
        <v>10.37706</v>
      </c>
      <c r="G117" s="19"/>
      <c r="H117" s="29"/>
    </row>
    <row r="118" spans="1:8" ht="12.75" customHeight="1">
      <c r="A118" s="32">
        <v>42950</v>
      </c>
      <c r="B118" s="32"/>
      <c r="C118" s="22">
        <f>ROUND(10.335,5)</f>
        <v>10.335</v>
      </c>
      <c r="D118" s="22">
        <f>F118</f>
        <v>10.45334</v>
      </c>
      <c r="E118" s="22">
        <f>F118</f>
        <v>10.45334</v>
      </c>
      <c r="F118" s="22">
        <f>ROUND(10.45334,5)</f>
        <v>10.45334</v>
      </c>
      <c r="G118" s="19"/>
      <c r="H118" s="29"/>
    </row>
    <row r="119" spans="1:8" ht="12.75" customHeight="1">
      <c r="A119" s="32">
        <v>43041</v>
      </c>
      <c r="B119" s="32"/>
      <c r="C119" s="22">
        <f>ROUND(10.335,5)</f>
        <v>10.335</v>
      </c>
      <c r="D119" s="22">
        <f>F119</f>
        <v>10.52841</v>
      </c>
      <c r="E119" s="22">
        <f>F119</f>
        <v>10.52841</v>
      </c>
      <c r="F119" s="22">
        <f>ROUND(10.52841,5)</f>
        <v>10.52841</v>
      </c>
      <c r="G119" s="19"/>
      <c r="H119" s="29"/>
    </row>
    <row r="120" spans="1:8" ht="12.75" customHeight="1">
      <c r="A120" s="32">
        <v>43132</v>
      </c>
      <c r="B120" s="32"/>
      <c r="C120" s="22">
        <f>ROUND(10.335,5)</f>
        <v>10.335</v>
      </c>
      <c r="D120" s="22">
        <f>F120</f>
        <v>10.60582</v>
      </c>
      <c r="E120" s="22">
        <f>F120</f>
        <v>10.60582</v>
      </c>
      <c r="F120" s="22">
        <f>ROUND(10.60582,5)</f>
        <v>10.60582</v>
      </c>
      <c r="G120" s="19"/>
      <c r="H120" s="29"/>
    </row>
    <row r="121" spans="1:8" ht="12.75" customHeight="1">
      <c r="A121" s="32">
        <v>43223</v>
      </c>
      <c r="B121" s="32"/>
      <c r="C121" s="22">
        <f>ROUND(10.335,5)</f>
        <v>10.335</v>
      </c>
      <c r="D121" s="22">
        <f>F121</f>
        <v>10.69008</v>
      </c>
      <c r="E121" s="22">
        <f>F121</f>
        <v>10.69008</v>
      </c>
      <c r="F121" s="22">
        <f>ROUND(10.69008,5)</f>
        <v>10.69008</v>
      </c>
      <c r="G121" s="19"/>
      <c r="H121" s="29"/>
    </row>
    <row r="122" spans="1:8" ht="12.75" customHeight="1">
      <c r="A122" s="32" t="s">
        <v>42</v>
      </c>
      <c r="B122" s="32"/>
      <c r="C122" s="18"/>
      <c r="D122" s="18"/>
      <c r="E122" s="18"/>
      <c r="F122" s="18"/>
      <c r="G122" s="19"/>
      <c r="H122" s="29"/>
    </row>
    <row r="123" spans="1:8" ht="12.75" customHeight="1">
      <c r="A123" s="32">
        <v>42859</v>
      </c>
      <c r="B123" s="32"/>
      <c r="C123" s="22">
        <f>ROUND(10.47,5)</f>
        <v>10.47</v>
      </c>
      <c r="D123" s="22">
        <f>F123</f>
        <v>10.51325</v>
      </c>
      <c r="E123" s="22">
        <f>F123</f>
        <v>10.51325</v>
      </c>
      <c r="F123" s="22">
        <f>ROUND(10.51325,5)</f>
        <v>10.51325</v>
      </c>
      <c r="G123" s="19"/>
      <c r="H123" s="29"/>
    </row>
    <row r="124" spans="1:8" ht="12.75" customHeight="1">
      <c r="A124" s="32">
        <v>42950</v>
      </c>
      <c r="B124" s="32"/>
      <c r="C124" s="22">
        <f>ROUND(10.47,5)</f>
        <v>10.47</v>
      </c>
      <c r="D124" s="22">
        <f>F124</f>
        <v>10.58786</v>
      </c>
      <c r="E124" s="22">
        <f>F124</f>
        <v>10.58786</v>
      </c>
      <c r="F124" s="22">
        <f>ROUND(10.58786,5)</f>
        <v>10.58786</v>
      </c>
      <c r="G124" s="19"/>
      <c r="H124" s="29"/>
    </row>
    <row r="125" spans="1:8" ht="12.75" customHeight="1">
      <c r="A125" s="32">
        <v>43041</v>
      </c>
      <c r="B125" s="32"/>
      <c r="C125" s="22">
        <f>ROUND(10.47,5)</f>
        <v>10.47</v>
      </c>
      <c r="D125" s="22">
        <f>F125</f>
        <v>10.66026</v>
      </c>
      <c r="E125" s="22">
        <f>F125</f>
        <v>10.66026</v>
      </c>
      <c r="F125" s="22">
        <f>ROUND(10.66026,5)</f>
        <v>10.66026</v>
      </c>
      <c r="G125" s="19"/>
      <c r="H125" s="29"/>
    </row>
    <row r="126" spans="1:8" ht="12.75" customHeight="1">
      <c r="A126" s="32">
        <v>43132</v>
      </c>
      <c r="B126" s="32"/>
      <c r="C126" s="22">
        <f>ROUND(10.47,5)</f>
        <v>10.47</v>
      </c>
      <c r="D126" s="22">
        <f>F126</f>
        <v>10.73229</v>
      </c>
      <c r="E126" s="22">
        <f>F126</f>
        <v>10.73229</v>
      </c>
      <c r="F126" s="22">
        <f>ROUND(10.73229,5)</f>
        <v>10.73229</v>
      </c>
      <c r="G126" s="19"/>
      <c r="H126" s="29"/>
    </row>
    <row r="127" spans="1:8" ht="12.75" customHeight="1">
      <c r="A127" s="32">
        <v>43223</v>
      </c>
      <c r="B127" s="32"/>
      <c r="C127" s="22">
        <f>ROUND(10.47,5)</f>
        <v>10.47</v>
      </c>
      <c r="D127" s="22">
        <f>F127</f>
        <v>10.81457</v>
      </c>
      <c r="E127" s="22">
        <f>F127</f>
        <v>10.81457</v>
      </c>
      <c r="F127" s="22">
        <f>ROUND(10.81457,5)</f>
        <v>10.81457</v>
      </c>
      <c r="G127" s="19"/>
      <c r="H127" s="29"/>
    </row>
    <row r="128" spans="1:8" ht="12.75" customHeight="1">
      <c r="A128" s="32" t="s">
        <v>43</v>
      </c>
      <c r="B128" s="32"/>
      <c r="C128" s="18"/>
      <c r="D128" s="18"/>
      <c r="E128" s="18"/>
      <c r="F128" s="18"/>
      <c r="G128" s="19"/>
      <c r="H128" s="29"/>
    </row>
    <row r="129" spans="1:8" ht="12.75" customHeight="1">
      <c r="A129" s="32">
        <v>42859</v>
      </c>
      <c r="B129" s="32"/>
      <c r="C129" s="22">
        <f>ROUND(8.22,5)</f>
        <v>8.22</v>
      </c>
      <c r="D129" s="22">
        <f>F129</f>
        <v>8.23571</v>
      </c>
      <c r="E129" s="22">
        <f>F129</f>
        <v>8.23571</v>
      </c>
      <c r="F129" s="22">
        <f>ROUND(8.23571,5)</f>
        <v>8.23571</v>
      </c>
      <c r="G129" s="19"/>
      <c r="H129" s="29"/>
    </row>
    <row r="130" spans="1:8" ht="12.75" customHeight="1">
      <c r="A130" s="32">
        <v>42950</v>
      </c>
      <c r="B130" s="32"/>
      <c r="C130" s="22">
        <f>ROUND(8.22,5)</f>
        <v>8.22</v>
      </c>
      <c r="D130" s="22">
        <f>F130</f>
        <v>8.25936</v>
      </c>
      <c r="E130" s="22">
        <f>F130</f>
        <v>8.25936</v>
      </c>
      <c r="F130" s="22">
        <f>ROUND(8.25936,5)</f>
        <v>8.25936</v>
      </c>
      <c r="G130" s="19"/>
      <c r="H130" s="29"/>
    </row>
    <row r="131" spans="1:8" ht="12.75" customHeight="1">
      <c r="A131" s="32">
        <v>43041</v>
      </c>
      <c r="B131" s="32"/>
      <c r="C131" s="22">
        <f>ROUND(8.22,5)</f>
        <v>8.22</v>
      </c>
      <c r="D131" s="22">
        <f>F131</f>
        <v>8.27778</v>
      </c>
      <c r="E131" s="22">
        <f>F131</f>
        <v>8.27778</v>
      </c>
      <c r="F131" s="22">
        <f>ROUND(8.27778,5)</f>
        <v>8.27778</v>
      </c>
      <c r="G131" s="19"/>
      <c r="H131" s="29"/>
    </row>
    <row r="132" spans="1:8" ht="12.75" customHeight="1">
      <c r="A132" s="32">
        <v>43132</v>
      </c>
      <c r="B132" s="32"/>
      <c r="C132" s="22">
        <f>ROUND(8.22,5)</f>
        <v>8.22</v>
      </c>
      <c r="D132" s="22">
        <f>F132</f>
        <v>8.29408</v>
      </c>
      <c r="E132" s="22">
        <f>F132</f>
        <v>8.29408</v>
      </c>
      <c r="F132" s="22">
        <f>ROUND(8.29408,5)</f>
        <v>8.29408</v>
      </c>
      <c r="G132" s="19"/>
      <c r="H132" s="29"/>
    </row>
    <row r="133" spans="1:8" ht="12.75" customHeight="1">
      <c r="A133" s="32">
        <v>43223</v>
      </c>
      <c r="B133" s="32"/>
      <c r="C133" s="22">
        <f>ROUND(8.22,5)</f>
        <v>8.22</v>
      </c>
      <c r="D133" s="22">
        <f>F133</f>
        <v>8.31992</v>
      </c>
      <c r="E133" s="22">
        <f>F133</f>
        <v>8.31992</v>
      </c>
      <c r="F133" s="22">
        <f>ROUND(8.31992,5)</f>
        <v>8.31992</v>
      </c>
      <c r="G133" s="19"/>
      <c r="H133" s="29"/>
    </row>
    <row r="134" spans="1:8" ht="12.75" customHeight="1">
      <c r="A134" s="32" t="s">
        <v>44</v>
      </c>
      <c r="B134" s="32"/>
      <c r="C134" s="18"/>
      <c r="D134" s="18"/>
      <c r="E134" s="18"/>
      <c r="F134" s="18"/>
      <c r="G134" s="19"/>
      <c r="H134" s="29"/>
    </row>
    <row r="135" spans="1:8" ht="12.75" customHeight="1">
      <c r="A135" s="32">
        <v>42859</v>
      </c>
      <c r="B135" s="32"/>
      <c r="C135" s="22">
        <f>ROUND(9.325,5)</f>
        <v>9.325</v>
      </c>
      <c r="D135" s="22">
        <f>F135</f>
        <v>9.35015</v>
      </c>
      <c r="E135" s="22">
        <f>F135</f>
        <v>9.35015</v>
      </c>
      <c r="F135" s="22">
        <f>ROUND(9.35015,5)</f>
        <v>9.35015</v>
      </c>
      <c r="G135" s="19"/>
      <c r="H135" s="29"/>
    </row>
    <row r="136" spans="1:8" ht="12.75" customHeight="1">
      <c r="A136" s="32">
        <v>42950</v>
      </c>
      <c r="B136" s="32"/>
      <c r="C136" s="22">
        <f>ROUND(9.325,5)</f>
        <v>9.325</v>
      </c>
      <c r="D136" s="22">
        <f>F136</f>
        <v>9.3942</v>
      </c>
      <c r="E136" s="22">
        <f>F136</f>
        <v>9.3942</v>
      </c>
      <c r="F136" s="22">
        <f>ROUND(9.3942,5)</f>
        <v>9.3942</v>
      </c>
      <c r="G136" s="19"/>
      <c r="H136" s="29"/>
    </row>
    <row r="137" spans="1:8" ht="12.75" customHeight="1">
      <c r="A137" s="32">
        <v>43041</v>
      </c>
      <c r="B137" s="32"/>
      <c r="C137" s="22">
        <f>ROUND(9.325,5)</f>
        <v>9.325</v>
      </c>
      <c r="D137" s="22">
        <f>F137</f>
        <v>9.43611</v>
      </c>
      <c r="E137" s="22">
        <f>F137</f>
        <v>9.43611</v>
      </c>
      <c r="F137" s="22">
        <f>ROUND(9.43611,5)</f>
        <v>9.43611</v>
      </c>
      <c r="G137" s="19"/>
      <c r="H137" s="29"/>
    </row>
    <row r="138" spans="1:8" ht="12.75" customHeight="1">
      <c r="A138" s="32">
        <v>43132</v>
      </c>
      <c r="B138" s="32"/>
      <c r="C138" s="22">
        <f>ROUND(9.325,5)</f>
        <v>9.325</v>
      </c>
      <c r="D138" s="22">
        <f>F138</f>
        <v>9.47819</v>
      </c>
      <c r="E138" s="22">
        <f>F138</f>
        <v>9.47819</v>
      </c>
      <c r="F138" s="22">
        <f>ROUND(9.47819,5)</f>
        <v>9.47819</v>
      </c>
      <c r="G138" s="19"/>
      <c r="H138" s="29"/>
    </row>
    <row r="139" spans="1:8" ht="12.75" customHeight="1">
      <c r="A139" s="32">
        <v>43223</v>
      </c>
      <c r="B139" s="32"/>
      <c r="C139" s="22">
        <f>ROUND(9.325,5)</f>
        <v>9.325</v>
      </c>
      <c r="D139" s="22">
        <f>F139</f>
        <v>9.52476</v>
      </c>
      <c r="E139" s="22">
        <f>F139</f>
        <v>9.52476</v>
      </c>
      <c r="F139" s="22">
        <f>ROUND(9.52476,5)</f>
        <v>9.52476</v>
      </c>
      <c r="G139" s="19"/>
      <c r="H139" s="29"/>
    </row>
    <row r="140" spans="1:8" ht="12.75" customHeight="1">
      <c r="A140" s="32" t="s">
        <v>45</v>
      </c>
      <c r="B140" s="32"/>
      <c r="C140" s="18"/>
      <c r="D140" s="18"/>
      <c r="E140" s="18"/>
      <c r="F140" s="18"/>
      <c r="G140" s="19"/>
      <c r="H140" s="29"/>
    </row>
    <row r="141" spans="1:8" ht="12.75" customHeight="1">
      <c r="A141" s="32">
        <v>42859</v>
      </c>
      <c r="B141" s="32"/>
      <c r="C141" s="22">
        <f>ROUND(8.655,5)</f>
        <v>8.655</v>
      </c>
      <c r="D141" s="22">
        <f>F141</f>
        <v>8.67843</v>
      </c>
      <c r="E141" s="22">
        <f>F141</f>
        <v>8.67843</v>
      </c>
      <c r="F141" s="22">
        <f>ROUND(8.67843,5)</f>
        <v>8.67843</v>
      </c>
      <c r="G141" s="19"/>
      <c r="H141" s="29"/>
    </row>
    <row r="142" spans="1:8" ht="12.75" customHeight="1">
      <c r="A142" s="32">
        <v>42950</v>
      </c>
      <c r="B142" s="32"/>
      <c r="C142" s="22">
        <f>ROUND(8.655,5)</f>
        <v>8.655</v>
      </c>
      <c r="D142" s="22">
        <f>F142</f>
        <v>8.71635</v>
      </c>
      <c r="E142" s="22">
        <f>F142</f>
        <v>8.71635</v>
      </c>
      <c r="F142" s="22">
        <f>ROUND(8.71635,5)</f>
        <v>8.71635</v>
      </c>
      <c r="G142" s="19"/>
      <c r="H142" s="29"/>
    </row>
    <row r="143" spans="1:8" ht="12.75" customHeight="1">
      <c r="A143" s="32">
        <v>43041</v>
      </c>
      <c r="B143" s="32"/>
      <c r="C143" s="22">
        <f>ROUND(8.655,5)</f>
        <v>8.655</v>
      </c>
      <c r="D143" s="22">
        <f>F143</f>
        <v>8.74609</v>
      </c>
      <c r="E143" s="22">
        <f>F143</f>
        <v>8.74609</v>
      </c>
      <c r="F143" s="22">
        <f>ROUND(8.74609,5)</f>
        <v>8.74609</v>
      </c>
      <c r="G143" s="19"/>
      <c r="H143" s="29"/>
    </row>
    <row r="144" spans="1:8" ht="12.75" customHeight="1">
      <c r="A144" s="32">
        <v>43132</v>
      </c>
      <c r="B144" s="32"/>
      <c r="C144" s="22">
        <f>ROUND(8.655,5)</f>
        <v>8.655</v>
      </c>
      <c r="D144" s="22">
        <f>F144</f>
        <v>8.7743</v>
      </c>
      <c r="E144" s="22">
        <f>F144</f>
        <v>8.7743</v>
      </c>
      <c r="F144" s="22">
        <f>ROUND(8.7743,5)</f>
        <v>8.7743</v>
      </c>
      <c r="G144" s="19"/>
      <c r="H144" s="29"/>
    </row>
    <row r="145" spans="1:8" ht="12.75" customHeight="1">
      <c r="A145" s="32">
        <v>43223</v>
      </c>
      <c r="B145" s="32"/>
      <c r="C145" s="22">
        <f>ROUND(8.655,5)</f>
        <v>8.655</v>
      </c>
      <c r="D145" s="22">
        <f>F145</f>
        <v>8.81533</v>
      </c>
      <c r="E145" s="22">
        <f>F145</f>
        <v>8.81533</v>
      </c>
      <c r="F145" s="22">
        <f>ROUND(8.81533,5)</f>
        <v>8.81533</v>
      </c>
      <c r="G145" s="19"/>
      <c r="H145" s="29"/>
    </row>
    <row r="146" spans="1:8" ht="12.75" customHeight="1">
      <c r="A146" s="32" t="s">
        <v>46</v>
      </c>
      <c r="B146" s="32"/>
      <c r="C146" s="18"/>
      <c r="D146" s="18"/>
      <c r="E146" s="18"/>
      <c r="F146" s="18"/>
      <c r="G146" s="19"/>
      <c r="H146" s="29"/>
    </row>
    <row r="147" spans="1:8" ht="12.75" customHeight="1">
      <c r="A147" s="32">
        <v>42859</v>
      </c>
      <c r="B147" s="32"/>
      <c r="C147" s="22">
        <f>ROUND(2.075,5)</f>
        <v>2.075</v>
      </c>
      <c r="D147" s="22">
        <f>F147</f>
        <v>301.19942</v>
      </c>
      <c r="E147" s="22">
        <f>F147</f>
        <v>301.19942</v>
      </c>
      <c r="F147" s="22">
        <f>ROUND(301.19942,5)</f>
        <v>301.19942</v>
      </c>
      <c r="G147" s="19"/>
      <c r="H147" s="29"/>
    </row>
    <row r="148" spans="1:8" ht="12.75" customHeight="1">
      <c r="A148" s="32">
        <v>42950</v>
      </c>
      <c r="B148" s="32"/>
      <c r="C148" s="22">
        <f>ROUND(2.075,5)</f>
        <v>2.075</v>
      </c>
      <c r="D148" s="22">
        <f>F148</f>
        <v>300.06492</v>
      </c>
      <c r="E148" s="22">
        <f>F148</f>
        <v>300.06492</v>
      </c>
      <c r="F148" s="22">
        <f>ROUND(300.06492,5)</f>
        <v>300.06492</v>
      </c>
      <c r="G148" s="19"/>
      <c r="H148" s="29"/>
    </row>
    <row r="149" spans="1:8" ht="12.75" customHeight="1">
      <c r="A149" s="32">
        <v>43041</v>
      </c>
      <c r="B149" s="32"/>
      <c r="C149" s="22">
        <f>ROUND(2.075,5)</f>
        <v>2.075</v>
      </c>
      <c r="D149" s="22">
        <f>F149</f>
        <v>306.03817</v>
      </c>
      <c r="E149" s="22">
        <f>F149</f>
        <v>306.03817</v>
      </c>
      <c r="F149" s="22">
        <f>ROUND(306.03817,5)</f>
        <v>306.03817</v>
      </c>
      <c r="G149" s="19"/>
      <c r="H149" s="29"/>
    </row>
    <row r="150" spans="1:8" ht="12.75" customHeight="1">
      <c r="A150" s="32">
        <v>43132</v>
      </c>
      <c r="B150" s="32"/>
      <c r="C150" s="22">
        <f>ROUND(2.075,5)</f>
        <v>2.075</v>
      </c>
      <c r="D150" s="22">
        <f>F150</f>
        <v>305.08872</v>
      </c>
      <c r="E150" s="22">
        <f>F150</f>
        <v>305.08872</v>
      </c>
      <c r="F150" s="22">
        <f>ROUND(305.08872,5)</f>
        <v>305.08872</v>
      </c>
      <c r="G150" s="19"/>
      <c r="H150" s="29"/>
    </row>
    <row r="151" spans="1:8" ht="12.75" customHeight="1">
      <c r="A151" s="32">
        <v>43223</v>
      </c>
      <c r="B151" s="32"/>
      <c r="C151" s="22">
        <f>ROUND(2.075,5)</f>
        <v>2.075</v>
      </c>
      <c r="D151" s="22">
        <f>F151</f>
        <v>310.98168</v>
      </c>
      <c r="E151" s="22">
        <f>F151</f>
        <v>310.98168</v>
      </c>
      <c r="F151" s="22">
        <f>ROUND(310.98168,5)</f>
        <v>310.98168</v>
      </c>
      <c r="G151" s="19"/>
      <c r="H151" s="29"/>
    </row>
    <row r="152" spans="1:8" ht="12.75" customHeight="1">
      <c r="A152" s="32" t="s">
        <v>47</v>
      </c>
      <c r="B152" s="32"/>
      <c r="C152" s="18"/>
      <c r="D152" s="18"/>
      <c r="E152" s="18"/>
      <c r="F152" s="18"/>
      <c r="G152" s="19"/>
      <c r="H152" s="29"/>
    </row>
    <row r="153" spans="1:8" ht="12.75" customHeight="1">
      <c r="A153" s="32">
        <v>42859</v>
      </c>
      <c r="B153" s="32"/>
      <c r="C153" s="22">
        <f>ROUND(2.13,5)</f>
        <v>2.13</v>
      </c>
      <c r="D153" s="22">
        <f>F153</f>
        <v>247.85131</v>
      </c>
      <c r="E153" s="22">
        <f>F153</f>
        <v>247.85131</v>
      </c>
      <c r="F153" s="22">
        <f>ROUND(247.85131,5)</f>
        <v>247.85131</v>
      </c>
      <c r="G153" s="19"/>
      <c r="H153" s="29"/>
    </row>
    <row r="154" spans="1:8" ht="12.75" customHeight="1">
      <c r="A154" s="32">
        <v>42950</v>
      </c>
      <c r="B154" s="32"/>
      <c r="C154" s="22">
        <f>ROUND(2.13,5)</f>
        <v>2.13</v>
      </c>
      <c r="D154" s="22">
        <f>F154</f>
        <v>248.94615</v>
      </c>
      <c r="E154" s="22">
        <f>F154</f>
        <v>248.94615</v>
      </c>
      <c r="F154" s="22">
        <f>ROUND(248.94615,5)</f>
        <v>248.94615</v>
      </c>
      <c r="G154" s="19"/>
      <c r="H154" s="29"/>
    </row>
    <row r="155" spans="1:8" ht="12.75" customHeight="1">
      <c r="A155" s="32">
        <v>43041</v>
      </c>
      <c r="B155" s="32"/>
      <c r="C155" s="22">
        <f>ROUND(2.13,5)</f>
        <v>2.13</v>
      </c>
      <c r="D155" s="22">
        <f>F155</f>
        <v>253.90186</v>
      </c>
      <c r="E155" s="22">
        <f>F155</f>
        <v>253.90186</v>
      </c>
      <c r="F155" s="22">
        <f>ROUND(253.90186,5)</f>
        <v>253.90186</v>
      </c>
      <c r="G155" s="19"/>
      <c r="H155" s="29"/>
    </row>
    <row r="156" spans="1:8" ht="12.75" customHeight="1">
      <c r="A156" s="32">
        <v>43132</v>
      </c>
      <c r="B156" s="32"/>
      <c r="C156" s="22">
        <f>ROUND(2.13,5)</f>
        <v>2.13</v>
      </c>
      <c r="D156" s="22">
        <f>F156</f>
        <v>255.24852</v>
      </c>
      <c r="E156" s="22">
        <f>F156</f>
        <v>255.24852</v>
      </c>
      <c r="F156" s="22">
        <f>ROUND(255.24852,5)</f>
        <v>255.24852</v>
      </c>
      <c r="G156" s="19"/>
      <c r="H156" s="29"/>
    </row>
    <row r="157" spans="1:8" ht="12.75" customHeight="1">
      <c r="A157" s="32">
        <v>43223</v>
      </c>
      <c r="B157" s="32"/>
      <c r="C157" s="22">
        <f>ROUND(2.13,5)</f>
        <v>2.13</v>
      </c>
      <c r="D157" s="22">
        <f>F157</f>
        <v>260.181</v>
      </c>
      <c r="E157" s="22">
        <f>F157</f>
        <v>260.181</v>
      </c>
      <c r="F157" s="22">
        <f>ROUND(260.181,5)</f>
        <v>260.181</v>
      </c>
      <c r="G157" s="19"/>
      <c r="H157" s="29"/>
    </row>
    <row r="158" spans="1:8" ht="12.75" customHeight="1">
      <c r="A158" s="32" t="s">
        <v>48</v>
      </c>
      <c r="B158" s="32"/>
      <c r="C158" s="18"/>
      <c r="D158" s="18"/>
      <c r="E158" s="18"/>
      <c r="F158" s="18"/>
      <c r="G158" s="19"/>
      <c r="H158" s="29"/>
    </row>
    <row r="159" spans="1:8" ht="12.75" customHeight="1">
      <c r="A159" s="32">
        <v>42859</v>
      </c>
      <c r="B159" s="32"/>
      <c r="C159" s="22">
        <f>ROUND(7.34,5)</f>
        <v>7.34</v>
      </c>
      <c r="D159" s="22">
        <f>F159</f>
        <v>7.20003</v>
      </c>
      <c r="E159" s="22">
        <f>F159</f>
        <v>7.20003</v>
      </c>
      <c r="F159" s="22">
        <f>ROUND(7.20003,5)</f>
        <v>7.20003</v>
      </c>
      <c r="G159" s="19"/>
      <c r="H159" s="29"/>
    </row>
    <row r="160" spans="1:8" ht="12.75" customHeight="1">
      <c r="A160" s="32" t="s">
        <v>49</v>
      </c>
      <c r="B160" s="32"/>
      <c r="C160" s="18"/>
      <c r="D160" s="18"/>
      <c r="E160" s="18"/>
      <c r="F160" s="18"/>
      <c r="G160" s="19"/>
      <c r="H160" s="29"/>
    </row>
    <row r="161" spans="1:8" ht="12.75" customHeight="1">
      <c r="A161" s="32">
        <v>42859</v>
      </c>
      <c r="B161" s="32"/>
      <c r="C161" s="22">
        <f>ROUND(7.465,5)</f>
        <v>7.465</v>
      </c>
      <c r="D161" s="22">
        <f>F161</f>
        <v>7.45345</v>
      </c>
      <c r="E161" s="22">
        <f>F161</f>
        <v>7.45345</v>
      </c>
      <c r="F161" s="22">
        <f>ROUND(7.45345,5)</f>
        <v>7.45345</v>
      </c>
      <c r="G161" s="19"/>
      <c r="H161" s="29"/>
    </row>
    <row r="162" spans="1:8" ht="12.75" customHeight="1">
      <c r="A162" s="32">
        <v>42950</v>
      </c>
      <c r="B162" s="32"/>
      <c r="C162" s="22">
        <f>ROUND(7.465,5)</f>
        <v>7.465</v>
      </c>
      <c r="D162" s="22">
        <f>F162</f>
        <v>7.39705</v>
      </c>
      <c r="E162" s="22">
        <f>F162</f>
        <v>7.39705</v>
      </c>
      <c r="F162" s="22">
        <f>ROUND(7.39705,5)</f>
        <v>7.39705</v>
      </c>
      <c r="G162" s="19"/>
      <c r="H162" s="29"/>
    </row>
    <row r="163" spans="1:8" ht="12.75" customHeight="1">
      <c r="A163" s="32">
        <v>43041</v>
      </c>
      <c r="B163" s="32"/>
      <c r="C163" s="22">
        <f>ROUND(7.465,5)</f>
        <v>7.465</v>
      </c>
      <c r="D163" s="22">
        <f>F163</f>
        <v>7.25736</v>
      </c>
      <c r="E163" s="22">
        <f>F163</f>
        <v>7.25736</v>
      </c>
      <c r="F163" s="22">
        <f>ROUND(7.25736,5)</f>
        <v>7.25736</v>
      </c>
      <c r="G163" s="19"/>
      <c r="H163" s="29"/>
    </row>
    <row r="164" spans="1:8" ht="12.75" customHeight="1">
      <c r="A164" s="32">
        <v>43132</v>
      </c>
      <c r="B164" s="32"/>
      <c r="C164" s="22">
        <f>ROUND(7.465,5)</f>
        <v>7.465</v>
      </c>
      <c r="D164" s="22">
        <f>F164</f>
        <v>7.01355</v>
      </c>
      <c r="E164" s="22">
        <f>F164</f>
        <v>7.01355</v>
      </c>
      <c r="F164" s="22">
        <f>ROUND(7.01355,5)</f>
        <v>7.01355</v>
      </c>
      <c r="G164" s="19"/>
      <c r="H164" s="29"/>
    </row>
    <row r="165" spans="1:8" ht="12.75" customHeight="1">
      <c r="A165" s="32">
        <v>43223</v>
      </c>
      <c r="B165" s="32"/>
      <c r="C165" s="22">
        <f>ROUND(7.465,5)</f>
        <v>7.465</v>
      </c>
      <c r="D165" s="22">
        <f>F165</f>
        <v>6.67718</v>
      </c>
      <c r="E165" s="22">
        <f>F165</f>
        <v>6.67718</v>
      </c>
      <c r="F165" s="22">
        <f>ROUND(6.67718,5)</f>
        <v>6.67718</v>
      </c>
      <c r="G165" s="19"/>
      <c r="H165" s="29"/>
    </row>
    <row r="166" spans="1:8" ht="12.75" customHeight="1">
      <c r="A166" s="32" t="s">
        <v>50</v>
      </c>
      <c r="B166" s="32"/>
      <c r="C166" s="18"/>
      <c r="D166" s="18"/>
      <c r="E166" s="18"/>
      <c r="F166" s="18"/>
      <c r="G166" s="19"/>
      <c r="H166" s="29"/>
    </row>
    <row r="167" spans="1:8" ht="12.75" customHeight="1">
      <c r="A167" s="32">
        <v>42859</v>
      </c>
      <c r="B167" s="32"/>
      <c r="C167" s="22">
        <f>ROUND(7.685,5)</f>
        <v>7.685</v>
      </c>
      <c r="D167" s="22">
        <f>F167</f>
        <v>7.69271</v>
      </c>
      <c r="E167" s="22">
        <f>F167</f>
        <v>7.69271</v>
      </c>
      <c r="F167" s="22">
        <f>ROUND(7.69271,5)</f>
        <v>7.69271</v>
      </c>
      <c r="G167" s="19"/>
      <c r="H167" s="29"/>
    </row>
    <row r="168" spans="1:8" ht="12.75" customHeight="1">
      <c r="A168" s="32">
        <v>42950</v>
      </c>
      <c r="B168" s="32"/>
      <c r="C168" s="22">
        <f>ROUND(7.685,5)</f>
        <v>7.685</v>
      </c>
      <c r="D168" s="22">
        <f>F168</f>
        <v>7.69046</v>
      </c>
      <c r="E168" s="22">
        <f>F168</f>
        <v>7.69046</v>
      </c>
      <c r="F168" s="22">
        <f>ROUND(7.69046,5)</f>
        <v>7.69046</v>
      </c>
      <c r="G168" s="19"/>
      <c r="H168" s="29"/>
    </row>
    <row r="169" spans="1:8" ht="12.75" customHeight="1">
      <c r="A169" s="32">
        <v>43041</v>
      </c>
      <c r="B169" s="32"/>
      <c r="C169" s="22">
        <f>ROUND(7.685,5)</f>
        <v>7.685</v>
      </c>
      <c r="D169" s="22">
        <f>F169</f>
        <v>7.6476</v>
      </c>
      <c r="E169" s="22">
        <f>F169</f>
        <v>7.6476</v>
      </c>
      <c r="F169" s="22">
        <f>ROUND(7.6476,5)</f>
        <v>7.6476</v>
      </c>
      <c r="G169" s="19"/>
      <c r="H169" s="29"/>
    </row>
    <row r="170" spans="1:8" ht="12.75" customHeight="1">
      <c r="A170" s="32">
        <v>43132</v>
      </c>
      <c r="B170" s="32"/>
      <c r="C170" s="22">
        <f>ROUND(7.685,5)</f>
        <v>7.685</v>
      </c>
      <c r="D170" s="22">
        <f>F170</f>
        <v>7.58306</v>
      </c>
      <c r="E170" s="22">
        <f>F170</f>
        <v>7.58306</v>
      </c>
      <c r="F170" s="22">
        <f>ROUND(7.58306,5)</f>
        <v>7.58306</v>
      </c>
      <c r="G170" s="19"/>
      <c r="H170" s="29"/>
    </row>
    <row r="171" spans="1:8" ht="12.75" customHeight="1">
      <c r="A171" s="32">
        <v>43223</v>
      </c>
      <c r="B171" s="32"/>
      <c r="C171" s="22">
        <f>ROUND(7.685,5)</f>
        <v>7.685</v>
      </c>
      <c r="D171" s="22">
        <f>F171</f>
        <v>7.55169</v>
      </c>
      <c r="E171" s="22">
        <f>F171</f>
        <v>7.55169</v>
      </c>
      <c r="F171" s="22">
        <f>ROUND(7.55169,5)</f>
        <v>7.55169</v>
      </c>
      <c r="G171" s="19"/>
      <c r="H171" s="29"/>
    </row>
    <row r="172" spans="1:8" ht="12.75" customHeight="1">
      <c r="A172" s="32" t="s">
        <v>51</v>
      </c>
      <c r="B172" s="32"/>
      <c r="C172" s="18"/>
      <c r="D172" s="18"/>
      <c r="E172" s="18"/>
      <c r="F172" s="18"/>
      <c r="G172" s="19"/>
      <c r="H172" s="29"/>
    </row>
    <row r="173" spans="1:8" ht="12.75" customHeight="1">
      <c r="A173" s="32">
        <v>42859</v>
      </c>
      <c r="B173" s="32"/>
      <c r="C173" s="22">
        <f>ROUND(7.83,5)</f>
        <v>7.83</v>
      </c>
      <c r="D173" s="22">
        <f>F173</f>
        <v>7.83821</v>
      </c>
      <c r="E173" s="22">
        <f>F173</f>
        <v>7.83821</v>
      </c>
      <c r="F173" s="22">
        <f>ROUND(7.83821,5)</f>
        <v>7.83821</v>
      </c>
      <c r="G173" s="19"/>
      <c r="H173" s="29"/>
    </row>
    <row r="174" spans="1:8" ht="12.75" customHeight="1">
      <c r="A174" s="32">
        <v>42950</v>
      </c>
      <c r="B174" s="32"/>
      <c r="C174" s="22">
        <f>ROUND(7.83,5)</f>
        <v>7.83</v>
      </c>
      <c r="D174" s="22">
        <f>F174</f>
        <v>7.84376</v>
      </c>
      <c r="E174" s="22">
        <f>F174</f>
        <v>7.84376</v>
      </c>
      <c r="F174" s="22">
        <f>ROUND(7.84376,5)</f>
        <v>7.84376</v>
      </c>
      <c r="G174" s="19"/>
      <c r="H174" s="29"/>
    </row>
    <row r="175" spans="1:8" ht="12.75" customHeight="1">
      <c r="A175" s="32">
        <v>43041</v>
      </c>
      <c r="B175" s="32"/>
      <c r="C175" s="22">
        <f>ROUND(7.83,5)</f>
        <v>7.83</v>
      </c>
      <c r="D175" s="22">
        <f>F175</f>
        <v>7.83277</v>
      </c>
      <c r="E175" s="22">
        <f>F175</f>
        <v>7.83277</v>
      </c>
      <c r="F175" s="22">
        <f>ROUND(7.83277,5)</f>
        <v>7.83277</v>
      </c>
      <c r="G175" s="19"/>
      <c r="H175" s="29"/>
    </row>
    <row r="176" spans="1:8" ht="12.75" customHeight="1">
      <c r="A176" s="32">
        <v>43132</v>
      </c>
      <c r="B176" s="32"/>
      <c r="C176" s="22">
        <f>ROUND(7.83,5)</f>
        <v>7.83</v>
      </c>
      <c r="D176" s="22">
        <f>F176</f>
        <v>7.81301</v>
      </c>
      <c r="E176" s="22">
        <f>F176</f>
        <v>7.81301</v>
      </c>
      <c r="F176" s="22">
        <f>ROUND(7.81301,5)</f>
        <v>7.81301</v>
      </c>
      <c r="G176" s="19"/>
      <c r="H176" s="29"/>
    </row>
    <row r="177" spans="1:8" ht="12.75" customHeight="1">
      <c r="A177" s="32">
        <v>43223</v>
      </c>
      <c r="B177" s="32"/>
      <c r="C177" s="22">
        <f>ROUND(7.83,5)</f>
        <v>7.83</v>
      </c>
      <c r="D177" s="22">
        <f>F177</f>
        <v>7.80993</v>
      </c>
      <c r="E177" s="22">
        <f>F177</f>
        <v>7.80993</v>
      </c>
      <c r="F177" s="22">
        <f>ROUND(7.80993,5)</f>
        <v>7.80993</v>
      </c>
      <c r="G177" s="19"/>
      <c r="H177" s="29"/>
    </row>
    <row r="178" spans="1:8" ht="12.75" customHeight="1">
      <c r="A178" s="32" t="s">
        <v>52</v>
      </c>
      <c r="B178" s="32"/>
      <c r="C178" s="18"/>
      <c r="D178" s="18"/>
      <c r="E178" s="18"/>
      <c r="F178" s="18"/>
      <c r="G178" s="19"/>
      <c r="H178" s="29"/>
    </row>
    <row r="179" spans="1:8" ht="12.75" customHeight="1">
      <c r="A179" s="32">
        <v>42859</v>
      </c>
      <c r="B179" s="32"/>
      <c r="C179" s="22">
        <f>ROUND(9.315,5)</f>
        <v>9.315</v>
      </c>
      <c r="D179" s="22">
        <f>F179</f>
        <v>9.33865</v>
      </c>
      <c r="E179" s="22">
        <f>F179</f>
        <v>9.33865</v>
      </c>
      <c r="F179" s="22">
        <f>ROUND(9.33865,5)</f>
        <v>9.33865</v>
      </c>
      <c r="G179" s="19"/>
      <c r="H179" s="29"/>
    </row>
    <row r="180" spans="1:8" ht="12.75" customHeight="1">
      <c r="A180" s="32">
        <v>42950</v>
      </c>
      <c r="B180" s="32"/>
      <c r="C180" s="22">
        <f>ROUND(9.315,5)</f>
        <v>9.315</v>
      </c>
      <c r="D180" s="22">
        <f>F180</f>
        <v>9.37931</v>
      </c>
      <c r="E180" s="22">
        <f>F180</f>
        <v>9.37931</v>
      </c>
      <c r="F180" s="22">
        <f>ROUND(9.37931,5)</f>
        <v>9.37931</v>
      </c>
      <c r="G180" s="19"/>
      <c r="H180" s="29"/>
    </row>
    <row r="181" spans="1:8" ht="12.75" customHeight="1">
      <c r="A181" s="32">
        <v>43041</v>
      </c>
      <c r="B181" s="32"/>
      <c r="C181" s="22">
        <f>ROUND(9.315,5)</f>
        <v>9.315</v>
      </c>
      <c r="D181" s="22">
        <f>F181</f>
        <v>9.41603</v>
      </c>
      <c r="E181" s="22">
        <f>F181</f>
        <v>9.41603</v>
      </c>
      <c r="F181" s="22">
        <f>ROUND(9.41603,5)</f>
        <v>9.41603</v>
      </c>
      <c r="G181" s="19"/>
      <c r="H181" s="29"/>
    </row>
    <row r="182" spans="1:8" ht="12.75" customHeight="1">
      <c r="A182" s="32">
        <v>43132</v>
      </c>
      <c r="B182" s="32"/>
      <c r="C182" s="22">
        <f>ROUND(9.315,5)</f>
        <v>9.315</v>
      </c>
      <c r="D182" s="22">
        <f>F182</f>
        <v>9.45186</v>
      </c>
      <c r="E182" s="22">
        <f>F182</f>
        <v>9.45186</v>
      </c>
      <c r="F182" s="22">
        <f>ROUND(9.45186,5)</f>
        <v>9.45186</v>
      </c>
      <c r="G182" s="19"/>
      <c r="H182" s="29"/>
    </row>
    <row r="183" spans="1:8" ht="12.75" customHeight="1">
      <c r="A183" s="32">
        <v>43223</v>
      </c>
      <c r="B183" s="32"/>
      <c r="C183" s="22">
        <f>ROUND(9.315,5)</f>
        <v>9.315</v>
      </c>
      <c r="D183" s="22">
        <f>F183</f>
        <v>9.49461</v>
      </c>
      <c r="E183" s="22">
        <f>F183</f>
        <v>9.49461</v>
      </c>
      <c r="F183" s="22">
        <f>ROUND(9.49461,5)</f>
        <v>9.49461</v>
      </c>
      <c r="G183" s="19"/>
      <c r="H183" s="29"/>
    </row>
    <row r="184" spans="1:8" ht="12.75" customHeight="1">
      <c r="A184" s="32" t="s">
        <v>53</v>
      </c>
      <c r="B184" s="32"/>
      <c r="C184" s="18"/>
      <c r="D184" s="18"/>
      <c r="E184" s="18"/>
      <c r="F184" s="18"/>
      <c r="G184" s="19"/>
      <c r="H184" s="29"/>
    </row>
    <row r="185" spans="1:8" ht="12.75" customHeight="1">
      <c r="A185" s="32">
        <v>42859</v>
      </c>
      <c r="B185" s="32"/>
      <c r="C185" s="22">
        <f>ROUND(2.11,5)</f>
        <v>2.11</v>
      </c>
      <c r="D185" s="22">
        <f>F185</f>
        <v>186.97045</v>
      </c>
      <c r="E185" s="22">
        <f>F185</f>
        <v>186.97045</v>
      </c>
      <c r="F185" s="22">
        <f>ROUND(186.97045,5)</f>
        <v>186.97045</v>
      </c>
      <c r="G185" s="19"/>
      <c r="H185" s="29"/>
    </row>
    <row r="186" spans="1:8" ht="12.75" customHeight="1">
      <c r="A186" s="32">
        <v>42950</v>
      </c>
      <c r="B186" s="32"/>
      <c r="C186" s="22">
        <f>ROUND(2.11,5)</f>
        <v>2.11</v>
      </c>
      <c r="D186" s="22">
        <f>F186</f>
        <v>190.58213</v>
      </c>
      <c r="E186" s="22">
        <f>F186</f>
        <v>190.58213</v>
      </c>
      <c r="F186" s="22">
        <f>ROUND(190.58213,5)</f>
        <v>190.58213</v>
      </c>
      <c r="G186" s="19"/>
      <c r="H186" s="29"/>
    </row>
    <row r="187" spans="1:8" ht="12.75" customHeight="1">
      <c r="A187" s="32">
        <v>43041</v>
      </c>
      <c r="B187" s="32"/>
      <c r="C187" s="22">
        <f>ROUND(2.11,5)</f>
        <v>2.11</v>
      </c>
      <c r="D187" s="22">
        <f>F187</f>
        <v>191.94405</v>
      </c>
      <c r="E187" s="22">
        <f>F187</f>
        <v>191.94405</v>
      </c>
      <c r="F187" s="22">
        <f>ROUND(191.94405,5)</f>
        <v>191.94405</v>
      </c>
      <c r="G187" s="19"/>
      <c r="H187" s="29"/>
    </row>
    <row r="188" spans="1:8" ht="12.75" customHeight="1">
      <c r="A188" s="32">
        <v>43132</v>
      </c>
      <c r="B188" s="32"/>
      <c r="C188" s="22">
        <f>ROUND(2.11,5)</f>
        <v>2.11</v>
      </c>
      <c r="D188" s="22">
        <f>F188</f>
        <v>195.83353</v>
      </c>
      <c r="E188" s="22">
        <f>F188</f>
        <v>195.83353</v>
      </c>
      <c r="F188" s="22">
        <f>ROUND(195.83353,5)</f>
        <v>195.83353</v>
      </c>
      <c r="G188" s="19"/>
      <c r="H188" s="29"/>
    </row>
    <row r="189" spans="1:8" ht="12.75" customHeight="1">
      <c r="A189" s="32">
        <v>43223</v>
      </c>
      <c r="B189" s="32"/>
      <c r="C189" s="22">
        <f>ROUND(2.11,5)</f>
        <v>2.11</v>
      </c>
      <c r="D189" s="22">
        <f>F189</f>
        <v>199.61932</v>
      </c>
      <c r="E189" s="22">
        <f>F189</f>
        <v>199.61932</v>
      </c>
      <c r="F189" s="22">
        <f>ROUND(199.61932,5)</f>
        <v>199.61932</v>
      </c>
      <c r="G189" s="19"/>
      <c r="H189" s="29"/>
    </row>
    <row r="190" spans="1:8" ht="12.75" customHeight="1">
      <c r="A190" s="32" t="s">
        <v>54</v>
      </c>
      <c r="B190" s="32"/>
      <c r="C190" s="18"/>
      <c r="D190" s="18"/>
      <c r="E190" s="18"/>
      <c r="F190" s="18"/>
      <c r="G190" s="19"/>
      <c r="H190" s="29"/>
    </row>
    <row r="191" spans="1:8" ht="12.75" customHeight="1">
      <c r="A191" s="32">
        <v>42859</v>
      </c>
      <c r="B191" s="32"/>
      <c r="C191" s="22">
        <f>ROUND(2.06,5)</f>
        <v>2.06</v>
      </c>
      <c r="D191" s="22">
        <f>F191</f>
        <v>149.11439</v>
      </c>
      <c r="E191" s="22">
        <f>F191</f>
        <v>149.11439</v>
      </c>
      <c r="F191" s="22">
        <f>ROUND(149.11439,5)</f>
        <v>149.11439</v>
      </c>
      <c r="G191" s="19"/>
      <c r="H191" s="29"/>
    </row>
    <row r="192" spans="1:8" ht="12.75" customHeight="1">
      <c r="A192" s="32">
        <v>42950</v>
      </c>
      <c r="B192" s="32"/>
      <c r="C192" s="22">
        <f>ROUND(2.06,5)</f>
        <v>2.06</v>
      </c>
      <c r="D192" s="22">
        <f>F192</f>
        <v>149.94492</v>
      </c>
      <c r="E192" s="22">
        <f>F192</f>
        <v>149.94492</v>
      </c>
      <c r="F192" s="22">
        <f>ROUND(149.94492,5)</f>
        <v>149.94492</v>
      </c>
      <c r="G192" s="19"/>
      <c r="H192" s="29"/>
    </row>
    <row r="193" spans="1:8" ht="12.75" customHeight="1">
      <c r="A193" s="32">
        <v>43041</v>
      </c>
      <c r="B193" s="32"/>
      <c r="C193" s="22">
        <f>ROUND(2.06,5)</f>
        <v>2.06</v>
      </c>
      <c r="D193" s="22">
        <f>F193</f>
        <v>152.92991</v>
      </c>
      <c r="E193" s="22">
        <f>F193</f>
        <v>152.92991</v>
      </c>
      <c r="F193" s="22">
        <f>ROUND(152.92991,5)</f>
        <v>152.92991</v>
      </c>
      <c r="G193" s="19"/>
      <c r="H193" s="29"/>
    </row>
    <row r="194" spans="1:8" ht="12.75" customHeight="1">
      <c r="A194" s="32">
        <v>43132</v>
      </c>
      <c r="B194" s="32"/>
      <c r="C194" s="22">
        <f>ROUND(2.06,5)</f>
        <v>2.06</v>
      </c>
      <c r="D194" s="22">
        <f>F194</f>
        <v>155.96174</v>
      </c>
      <c r="E194" s="22">
        <f>F194</f>
        <v>155.96174</v>
      </c>
      <c r="F194" s="22">
        <f>ROUND(155.96174,5)</f>
        <v>155.96174</v>
      </c>
      <c r="G194" s="19"/>
      <c r="H194" s="29"/>
    </row>
    <row r="195" spans="1:8" ht="12.75" customHeight="1">
      <c r="A195" s="32">
        <v>43223</v>
      </c>
      <c r="B195" s="32"/>
      <c r="C195" s="22">
        <f>ROUND(2.06,5)</f>
        <v>2.06</v>
      </c>
      <c r="D195" s="22">
        <f>F195</f>
        <v>158.97705</v>
      </c>
      <c r="E195" s="22">
        <f>F195</f>
        <v>158.97705</v>
      </c>
      <c r="F195" s="22">
        <f>ROUND(158.97705,5)</f>
        <v>158.97705</v>
      </c>
      <c r="G195" s="19"/>
      <c r="H195" s="29"/>
    </row>
    <row r="196" spans="1:8" ht="12.75" customHeight="1">
      <c r="A196" s="32" t="s">
        <v>55</v>
      </c>
      <c r="B196" s="32"/>
      <c r="C196" s="18"/>
      <c r="D196" s="18"/>
      <c r="E196" s="18"/>
      <c r="F196" s="18"/>
      <c r="G196" s="19"/>
      <c r="H196" s="29"/>
    </row>
    <row r="197" spans="1:8" ht="12.75" customHeight="1">
      <c r="A197" s="32">
        <v>42859</v>
      </c>
      <c r="B197" s="32"/>
      <c r="C197" s="22">
        <f>ROUND(9.08,5)</f>
        <v>9.08</v>
      </c>
      <c r="D197" s="22">
        <f>F197</f>
        <v>9.10262</v>
      </c>
      <c r="E197" s="22">
        <f>F197</f>
        <v>9.10262</v>
      </c>
      <c r="F197" s="22">
        <f>ROUND(9.10262,5)</f>
        <v>9.10262</v>
      </c>
      <c r="G197" s="19"/>
      <c r="H197" s="29"/>
    </row>
    <row r="198" spans="1:8" ht="12.75" customHeight="1">
      <c r="A198" s="32">
        <v>42950</v>
      </c>
      <c r="B198" s="32"/>
      <c r="C198" s="22">
        <f>ROUND(9.08,5)</f>
        <v>9.08</v>
      </c>
      <c r="D198" s="22">
        <f>F198</f>
        <v>9.14171</v>
      </c>
      <c r="E198" s="22">
        <f>F198</f>
        <v>9.14171</v>
      </c>
      <c r="F198" s="22">
        <f>ROUND(9.14171,5)</f>
        <v>9.14171</v>
      </c>
      <c r="G198" s="19"/>
      <c r="H198" s="29"/>
    </row>
    <row r="199" spans="1:8" ht="12.75" customHeight="1">
      <c r="A199" s="32">
        <v>43041</v>
      </c>
      <c r="B199" s="32"/>
      <c r="C199" s="22">
        <f>ROUND(9.08,5)</f>
        <v>9.08</v>
      </c>
      <c r="D199" s="22">
        <f>F199</f>
        <v>9.1785</v>
      </c>
      <c r="E199" s="22">
        <f>F199</f>
        <v>9.1785</v>
      </c>
      <c r="F199" s="22">
        <f>ROUND(9.1785,5)</f>
        <v>9.1785</v>
      </c>
      <c r="G199" s="19"/>
      <c r="H199" s="29"/>
    </row>
    <row r="200" spans="1:8" ht="12.75" customHeight="1">
      <c r="A200" s="32">
        <v>43132</v>
      </c>
      <c r="B200" s="32"/>
      <c r="C200" s="22">
        <f>ROUND(9.08,5)</f>
        <v>9.08</v>
      </c>
      <c r="D200" s="22">
        <f>F200</f>
        <v>9.2152</v>
      </c>
      <c r="E200" s="22">
        <f>F200</f>
        <v>9.2152</v>
      </c>
      <c r="F200" s="22">
        <f>ROUND(9.2152,5)</f>
        <v>9.2152</v>
      </c>
      <c r="G200" s="19"/>
      <c r="H200" s="29"/>
    </row>
    <row r="201" spans="1:8" ht="12.75" customHeight="1">
      <c r="A201" s="32">
        <v>43223</v>
      </c>
      <c r="B201" s="32"/>
      <c r="C201" s="22">
        <f>ROUND(9.08,5)</f>
        <v>9.08</v>
      </c>
      <c r="D201" s="22">
        <f>F201</f>
        <v>9.25677</v>
      </c>
      <c r="E201" s="22">
        <f>F201</f>
        <v>9.25677</v>
      </c>
      <c r="F201" s="22">
        <f>ROUND(9.25677,5)</f>
        <v>9.25677</v>
      </c>
      <c r="G201" s="19"/>
      <c r="H201" s="29"/>
    </row>
    <row r="202" spans="1:8" ht="12.75" customHeight="1">
      <c r="A202" s="32" t="s">
        <v>56</v>
      </c>
      <c r="B202" s="32"/>
      <c r="C202" s="18"/>
      <c r="D202" s="18"/>
      <c r="E202" s="18"/>
      <c r="F202" s="18"/>
      <c r="G202" s="19"/>
      <c r="H202" s="29"/>
    </row>
    <row r="203" spans="1:8" ht="12.75" customHeight="1">
      <c r="A203" s="32">
        <v>42859</v>
      </c>
      <c r="B203" s="32"/>
      <c r="C203" s="22">
        <f>ROUND(9.385,5)</f>
        <v>9.385</v>
      </c>
      <c r="D203" s="22">
        <f>F203</f>
        <v>9.40745</v>
      </c>
      <c r="E203" s="22">
        <f>F203</f>
        <v>9.40745</v>
      </c>
      <c r="F203" s="22">
        <f>ROUND(9.40745,5)</f>
        <v>9.40745</v>
      </c>
      <c r="G203" s="19"/>
      <c r="H203" s="29"/>
    </row>
    <row r="204" spans="1:8" ht="12.75" customHeight="1">
      <c r="A204" s="32">
        <v>42950</v>
      </c>
      <c r="B204" s="32"/>
      <c r="C204" s="22">
        <f>ROUND(9.385,5)</f>
        <v>9.385</v>
      </c>
      <c r="D204" s="22">
        <f>F204</f>
        <v>9.44665</v>
      </c>
      <c r="E204" s="22">
        <f>F204</f>
        <v>9.44665</v>
      </c>
      <c r="F204" s="22">
        <f>ROUND(9.44665,5)</f>
        <v>9.44665</v>
      </c>
      <c r="G204" s="19"/>
      <c r="H204" s="29"/>
    </row>
    <row r="205" spans="1:8" ht="12.75" customHeight="1">
      <c r="A205" s="32">
        <v>43041</v>
      </c>
      <c r="B205" s="32"/>
      <c r="C205" s="22">
        <f>ROUND(9.385,5)</f>
        <v>9.385</v>
      </c>
      <c r="D205" s="22">
        <f>F205</f>
        <v>9.48382</v>
      </c>
      <c r="E205" s="22">
        <f>F205</f>
        <v>9.48382</v>
      </c>
      <c r="F205" s="22">
        <f>ROUND(9.48382,5)</f>
        <v>9.48382</v>
      </c>
      <c r="G205" s="19"/>
      <c r="H205" s="29"/>
    </row>
    <row r="206" spans="1:8" ht="12.75" customHeight="1">
      <c r="A206" s="32">
        <v>43132</v>
      </c>
      <c r="B206" s="32"/>
      <c r="C206" s="22">
        <f>ROUND(9.385,5)</f>
        <v>9.385</v>
      </c>
      <c r="D206" s="22">
        <f>F206</f>
        <v>9.52093</v>
      </c>
      <c r="E206" s="22">
        <f>F206</f>
        <v>9.52093</v>
      </c>
      <c r="F206" s="22">
        <f>ROUND(9.52093,5)</f>
        <v>9.52093</v>
      </c>
      <c r="G206" s="19"/>
      <c r="H206" s="29"/>
    </row>
    <row r="207" spans="1:8" ht="12.75" customHeight="1">
      <c r="A207" s="32">
        <v>43223</v>
      </c>
      <c r="B207" s="32"/>
      <c r="C207" s="22">
        <f>ROUND(9.385,5)</f>
        <v>9.385</v>
      </c>
      <c r="D207" s="22">
        <f>F207</f>
        <v>9.56159</v>
      </c>
      <c r="E207" s="22">
        <f>F207</f>
        <v>9.56159</v>
      </c>
      <c r="F207" s="22">
        <f>ROUND(9.56159,5)</f>
        <v>9.56159</v>
      </c>
      <c r="G207" s="19"/>
      <c r="H207" s="29"/>
    </row>
    <row r="208" spans="1:8" ht="12.75" customHeight="1">
      <c r="A208" s="32" t="s">
        <v>57</v>
      </c>
      <c r="B208" s="32"/>
      <c r="C208" s="18"/>
      <c r="D208" s="18"/>
      <c r="E208" s="18"/>
      <c r="F208" s="18"/>
      <c r="G208" s="19"/>
      <c r="H208" s="29"/>
    </row>
    <row r="209" spans="1:8" ht="12.75" customHeight="1">
      <c r="A209" s="32">
        <v>42859</v>
      </c>
      <c r="B209" s="32"/>
      <c r="C209" s="22">
        <f>ROUND(9.44,5)</f>
        <v>9.44</v>
      </c>
      <c r="D209" s="22">
        <f>F209</f>
        <v>9.46324</v>
      </c>
      <c r="E209" s="22">
        <f>F209</f>
        <v>9.46324</v>
      </c>
      <c r="F209" s="22">
        <f>ROUND(9.46324,5)</f>
        <v>9.46324</v>
      </c>
      <c r="G209" s="19"/>
      <c r="H209" s="29"/>
    </row>
    <row r="210" spans="1:8" ht="12.75" customHeight="1">
      <c r="A210" s="32">
        <v>42950</v>
      </c>
      <c r="B210" s="32"/>
      <c r="C210" s="22">
        <f>ROUND(9.44,5)</f>
        <v>9.44</v>
      </c>
      <c r="D210" s="22">
        <f>F210</f>
        <v>9.50397</v>
      </c>
      <c r="E210" s="22">
        <f>F210</f>
        <v>9.50397</v>
      </c>
      <c r="F210" s="22">
        <f>ROUND(9.50397,5)</f>
        <v>9.50397</v>
      </c>
      <c r="G210" s="19"/>
      <c r="H210" s="29"/>
    </row>
    <row r="211" spans="1:8" ht="12.75" customHeight="1">
      <c r="A211" s="32">
        <v>43041</v>
      </c>
      <c r="B211" s="32"/>
      <c r="C211" s="22">
        <f>ROUND(9.44,5)</f>
        <v>9.44</v>
      </c>
      <c r="D211" s="22">
        <f>F211</f>
        <v>9.54267</v>
      </c>
      <c r="E211" s="22">
        <f>F211</f>
        <v>9.54267</v>
      </c>
      <c r="F211" s="22">
        <f>ROUND(9.54267,5)</f>
        <v>9.54267</v>
      </c>
      <c r="G211" s="19"/>
      <c r="H211" s="29"/>
    </row>
    <row r="212" spans="1:8" ht="12.75" customHeight="1">
      <c r="A212" s="32">
        <v>43132</v>
      </c>
      <c r="B212" s="32"/>
      <c r="C212" s="22">
        <f>ROUND(9.44,5)</f>
        <v>9.44</v>
      </c>
      <c r="D212" s="22">
        <f>F212</f>
        <v>9.58137</v>
      </c>
      <c r="E212" s="22">
        <f>F212</f>
        <v>9.58137</v>
      </c>
      <c r="F212" s="22">
        <f>ROUND(9.58137,5)</f>
        <v>9.58137</v>
      </c>
      <c r="G212" s="19"/>
      <c r="H212" s="29"/>
    </row>
    <row r="213" spans="1:8" ht="12.75" customHeight="1">
      <c r="A213" s="32">
        <v>43223</v>
      </c>
      <c r="B213" s="32"/>
      <c r="C213" s="22">
        <f>ROUND(9.44,5)</f>
        <v>9.44</v>
      </c>
      <c r="D213" s="22">
        <f>F213</f>
        <v>9.62363</v>
      </c>
      <c r="E213" s="22">
        <f>F213</f>
        <v>9.62363</v>
      </c>
      <c r="F213" s="22">
        <f>ROUND(9.62363,5)</f>
        <v>9.62363</v>
      </c>
      <c r="G213" s="19"/>
      <c r="H213" s="29"/>
    </row>
    <row r="214" spans="1:8" ht="12.75" customHeight="1">
      <c r="A214" s="32" t="s">
        <v>58</v>
      </c>
      <c r="B214" s="32"/>
      <c r="C214" s="18"/>
      <c r="D214" s="18"/>
      <c r="E214" s="18"/>
      <c r="F214" s="18"/>
      <c r="G214" s="19"/>
      <c r="H214" s="29"/>
    </row>
    <row r="215" spans="1:8" ht="12.75" customHeight="1">
      <c r="A215" s="32">
        <v>42809</v>
      </c>
      <c r="B215" s="32"/>
      <c r="C215" s="20">
        <f>ROUND(13.864496,4)</f>
        <v>13.8645</v>
      </c>
      <c r="D215" s="20">
        <f>F215</f>
        <v>13.8675</v>
      </c>
      <c r="E215" s="20">
        <f>F215</f>
        <v>13.8675</v>
      </c>
      <c r="F215" s="20">
        <f>ROUND(13.867525456,4)</f>
        <v>13.8675</v>
      </c>
      <c r="G215" s="19"/>
      <c r="H215" s="29"/>
    </row>
    <row r="216" spans="1:8" ht="12.75" customHeight="1">
      <c r="A216" s="32">
        <v>42825</v>
      </c>
      <c r="B216" s="32"/>
      <c r="C216" s="20">
        <f>ROUND(13.864496,4)</f>
        <v>13.8645</v>
      </c>
      <c r="D216" s="20">
        <f>F216</f>
        <v>13.9074</v>
      </c>
      <c r="E216" s="20">
        <f>F216</f>
        <v>13.9074</v>
      </c>
      <c r="F216" s="20">
        <f>ROUND(13.90742957,4)</f>
        <v>13.9074</v>
      </c>
      <c r="G216" s="19"/>
      <c r="H216" s="29"/>
    </row>
    <row r="217" spans="1:8" ht="12.75" customHeight="1">
      <c r="A217" s="32">
        <v>42838</v>
      </c>
      <c r="B217" s="32"/>
      <c r="C217" s="20">
        <f>ROUND(13.864496,4)</f>
        <v>13.8645</v>
      </c>
      <c r="D217" s="20">
        <f>F217</f>
        <v>13.9516</v>
      </c>
      <c r="E217" s="20">
        <f>F217</f>
        <v>13.9516</v>
      </c>
      <c r="F217" s="20">
        <f>ROUND(13.951614852,4)</f>
        <v>13.9516</v>
      </c>
      <c r="G217" s="19"/>
      <c r="H217" s="29"/>
    </row>
    <row r="218" spans="1:8" ht="12.75" customHeight="1">
      <c r="A218" s="32" t="s">
        <v>59</v>
      </c>
      <c r="B218" s="32"/>
      <c r="C218" s="18"/>
      <c r="D218" s="18"/>
      <c r="E218" s="18"/>
      <c r="F218" s="18"/>
      <c r="G218" s="19"/>
      <c r="H218" s="29"/>
    </row>
    <row r="219" spans="1:8" ht="12.75" customHeight="1">
      <c r="A219" s="32">
        <v>42825</v>
      </c>
      <c r="B219" s="32"/>
      <c r="C219" s="20">
        <f>ROUND(15.935159,4)</f>
        <v>15.9352</v>
      </c>
      <c r="D219" s="20">
        <f>F219</f>
        <v>15.9798</v>
      </c>
      <c r="E219" s="20">
        <f>F219</f>
        <v>15.9798</v>
      </c>
      <c r="F219" s="20">
        <f>ROUND(15.979775932,4)</f>
        <v>15.9798</v>
      </c>
      <c r="G219" s="19"/>
      <c r="H219" s="29"/>
    </row>
    <row r="220" spans="1:8" ht="12.75" customHeight="1">
      <c r="A220" s="32">
        <v>42838</v>
      </c>
      <c r="B220" s="32"/>
      <c r="C220" s="20">
        <f>ROUND(15.935159,4)</f>
        <v>15.9352</v>
      </c>
      <c r="D220" s="20">
        <f>F220</f>
        <v>16.0259</v>
      </c>
      <c r="E220" s="20">
        <f>F220</f>
        <v>16.0259</v>
      </c>
      <c r="F220" s="20">
        <f>ROUND(16.025899461,4)</f>
        <v>16.0259</v>
      </c>
      <c r="G220" s="19"/>
      <c r="H220" s="29"/>
    </row>
    <row r="221" spans="1:8" ht="12.75" customHeight="1">
      <c r="A221" s="32">
        <v>42850</v>
      </c>
      <c r="B221" s="32"/>
      <c r="C221" s="20">
        <f>ROUND(15.935159,4)</f>
        <v>15.9352</v>
      </c>
      <c r="D221" s="20">
        <f>F221</f>
        <v>16.0633</v>
      </c>
      <c r="E221" s="20">
        <f>F221</f>
        <v>16.0633</v>
      </c>
      <c r="F221" s="20">
        <f>ROUND(16.063330177,4)</f>
        <v>16.0633</v>
      </c>
      <c r="G221" s="19"/>
      <c r="H221" s="29"/>
    </row>
    <row r="222" spans="1:8" ht="12.75" customHeight="1">
      <c r="A222" s="32">
        <v>42853</v>
      </c>
      <c r="B222" s="32"/>
      <c r="C222" s="20">
        <f>ROUND(15.935159,4)</f>
        <v>15.9352</v>
      </c>
      <c r="D222" s="20">
        <f>F222</f>
        <v>16.0724</v>
      </c>
      <c r="E222" s="20">
        <f>F222</f>
        <v>16.0724</v>
      </c>
      <c r="F222" s="20">
        <f>ROUND(16.072403104,4)</f>
        <v>16.0724</v>
      </c>
      <c r="G222" s="19"/>
      <c r="H222" s="29"/>
    </row>
    <row r="223" spans="1:8" ht="12.75" customHeight="1">
      <c r="A223" s="32" t="s">
        <v>60</v>
      </c>
      <c r="B223" s="32"/>
      <c r="C223" s="18"/>
      <c r="D223" s="18"/>
      <c r="E223" s="18"/>
      <c r="F223" s="18"/>
      <c r="G223" s="19"/>
      <c r="H223" s="29"/>
    </row>
    <row r="224" spans="1:8" ht="12.75" customHeight="1">
      <c r="A224" s="32">
        <v>42810</v>
      </c>
      <c r="B224" s="32"/>
      <c r="C224" s="20">
        <f aca="true" t="shared" si="3" ref="C224:C263">ROUND(13.06,4)</f>
        <v>13.06</v>
      </c>
      <c r="D224" s="20">
        <f aca="true" t="shared" si="4" ref="D224:D263">F224</f>
        <v>13.0623</v>
      </c>
      <c r="E224" s="20">
        <f aca="true" t="shared" si="5" ref="E224:E263">F224</f>
        <v>13.0623</v>
      </c>
      <c r="F224" s="20">
        <f>ROUND(13.0623,4)</f>
        <v>13.0623</v>
      </c>
      <c r="G224" s="19"/>
      <c r="H224" s="29"/>
    </row>
    <row r="225" spans="1:8" ht="12.75" customHeight="1">
      <c r="A225" s="32">
        <v>42811</v>
      </c>
      <c r="B225" s="32"/>
      <c r="C225" s="20">
        <f t="shared" si="3"/>
        <v>13.06</v>
      </c>
      <c r="D225" s="20">
        <f t="shared" si="4"/>
        <v>13.0623</v>
      </c>
      <c r="E225" s="20">
        <f t="shared" si="5"/>
        <v>13.0623</v>
      </c>
      <c r="F225" s="20">
        <f>ROUND(13.0623,4)</f>
        <v>13.0623</v>
      </c>
      <c r="G225" s="19"/>
      <c r="H225" s="29"/>
    </row>
    <row r="226" spans="1:8" ht="12.75" customHeight="1">
      <c r="A226" s="32">
        <v>42821</v>
      </c>
      <c r="B226" s="32"/>
      <c r="C226" s="20">
        <f t="shared" si="3"/>
        <v>13.06</v>
      </c>
      <c r="D226" s="20">
        <f t="shared" si="4"/>
        <v>13.0832</v>
      </c>
      <c r="E226" s="20">
        <f t="shared" si="5"/>
        <v>13.0832</v>
      </c>
      <c r="F226" s="20">
        <f>ROUND(13.0832,4)</f>
        <v>13.0832</v>
      </c>
      <c r="G226" s="19"/>
      <c r="H226" s="29"/>
    </row>
    <row r="227" spans="1:8" ht="12.75" customHeight="1">
      <c r="A227" s="32">
        <v>42823</v>
      </c>
      <c r="B227" s="32"/>
      <c r="C227" s="20">
        <f t="shared" si="3"/>
        <v>13.06</v>
      </c>
      <c r="D227" s="20">
        <f t="shared" si="4"/>
        <v>13.0878</v>
      </c>
      <c r="E227" s="20">
        <f t="shared" si="5"/>
        <v>13.0878</v>
      </c>
      <c r="F227" s="20">
        <f>ROUND(13.0878,4)</f>
        <v>13.0878</v>
      </c>
      <c r="G227" s="19"/>
      <c r="H227" s="29"/>
    </row>
    <row r="228" spans="1:8" ht="12.75" customHeight="1">
      <c r="A228" s="32">
        <v>42825</v>
      </c>
      <c r="B228" s="32"/>
      <c r="C228" s="20">
        <f t="shared" si="3"/>
        <v>13.06</v>
      </c>
      <c r="D228" s="20">
        <f t="shared" si="4"/>
        <v>13.0925</v>
      </c>
      <c r="E228" s="20">
        <f t="shared" si="5"/>
        <v>13.0925</v>
      </c>
      <c r="F228" s="20">
        <f>ROUND(13.0925,4)</f>
        <v>13.0925</v>
      </c>
      <c r="G228" s="19"/>
      <c r="H228" s="29"/>
    </row>
    <row r="229" spans="1:8" ht="12.75" customHeight="1">
      <c r="A229" s="32">
        <v>42828</v>
      </c>
      <c r="B229" s="32"/>
      <c r="C229" s="20">
        <f t="shared" si="3"/>
        <v>13.06</v>
      </c>
      <c r="D229" s="20">
        <f t="shared" si="4"/>
        <v>13.0996</v>
      </c>
      <c r="E229" s="20">
        <f t="shared" si="5"/>
        <v>13.0996</v>
      </c>
      <c r="F229" s="20">
        <f>ROUND(13.0996,4)</f>
        <v>13.0996</v>
      </c>
      <c r="G229" s="19"/>
      <c r="H229" s="29"/>
    </row>
    <row r="230" spans="1:8" ht="12.75" customHeight="1">
      <c r="A230" s="32">
        <v>42835</v>
      </c>
      <c r="B230" s="32"/>
      <c r="C230" s="20">
        <f t="shared" si="3"/>
        <v>13.06</v>
      </c>
      <c r="D230" s="20">
        <f t="shared" si="4"/>
        <v>13.116</v>
      </c>
      <c r="E230" s="20">
        <f t="shared" si="5"/>
        <v>13.116</v>
      </c>
      <c r="F230" s="20">
        <f>ROUND(13.116,4)</f>
        <v>13.116</v>
      </c>
      <c r="G230" s="19"/>
      <c r="H230" s="29"/>
    </row>
    <row r="231" spans="1:8" ht="12.75" customHeight="1">
      <c r="A231" s="32">
        <v>42836</v>
      </c>
      <c r="B231" s="32"/>
      <c r="C231" s="20">
        <f t="shared" si="3"/>
        <v>13.06</v>
      </c>
      <c r="D231" s="20">
        <f t="shared" si="4"/>
        <v>13.1183</v>
      </c>
      <c r="E231" s="20">
        <f t="shared" si="5"/>
        <v>13.1183</v>
      </c>
      <c r="F231" s="20">
        <f>ROUND(13.1183,4)</f>
        <v>13.1183</v>
      </c>
      <c r="G231" s="19"/>
      <c r="H231" s="29"/>
    </row>
    <row r="232" spans="1:8" ht="12.75" customHeight="1">
      <c r="A232" s="32">
        <v>42837</v>
      </c>
      <c r="B232" s="32"/>
      <c r="C232" s="20">
        <f t="shared" si="3"/>
        <v>13.06</v>
      </c>
      <c r="D232" s="20">
        <f t="shared" si="4"/>
        <v>13.1207</v>
      </c>
      <c r="E232" s="20">
        <f t="shared" si="5"/>
        <v>13.1207</v>
      </c>
      <c r="F232" s="20">
        <f>ROUND(13.1207,4)</f>
        <v>13.1207</v>
      </c>
      <c r="G232" s="19"/>
      <c r="H232" s="29"/>
    </row>
    <row r="233" spans="1:8" ht="12.75" customHeight="1">
      <c r="A233" s="32">
        <v>42838</v>
      </c>
      <c r="B233" s="32"/>
      <c r="C233" s="20">
        <f t="shared" si="3"/>
        <v>13.06</v>
      </c>
      <c r="D233" s="20">
        <f t="shared" si="4"/>
        <v>13.123</v>
      </c>
      <c r="E233" s="20">
        <f t="shared" si="5"/>
        <v>13.123</v>
      </c>
      <c r="F233" s="20">
        <f>ROUND(13.123,4)</f>
        <v>13.123</v>
      </c>
      <c r="G233" s="19"/>
      <c r="H233" s="29"/>
    </row>
    <row r="234" spans="1:8" ht="12.75" customHeight="1">
      <c r="A234" s="32">
        <v>42843</v>
      </c>
      <c r="B234" s="32"/>
      <c r="C234" s="20">
        <f t="shared" si="3"/>
        <v>13.06</v>
      </c>
      <c r="D234" s="20">
        <f t="shared" si="4"/>
        <v>13.1346</v>
      </c>
      <c r="E234" s="20">
        <f t="shared" si="5"/>
        <v>13.1346</v>
      </c>
      <c r="F234" s="20">
        <f>ROUND(13.1346,4)</f>
        <v>13.1346</v>
      </c>
      <c r="G234" s="19"/>
      <c r="H234" s="29"/>
    </row>
    <row r="235" spans="1:8" ht="12.75" customHeight="1">
      <c r="A235" s="32">
        <v>42846</v>
      </c>
      <c r="B235" s="32"/>
      <c r="C235" s="20">
        <f t="shared" si="3"/>
        <v>13.06</v>
      </c>
      <c r="D235" s="20">
        <f t="shared" si="4"/>
        <v>13.1411</v>
      </c>
      <c r="E235" s="20">
        <f t="shared" si="5"/>
        <v>13.1411</v>
      </c>
      <c r="F235" s="20">
        <f>ROUND(13.1411,4)</f>
        <v>13.1411</v>
      </c>
      <c r="G235" s="19"/>
      <c r="H235" s="29"/>
    </row>
    <row r="236" spans="1:8" ht="12.75" customHeight="1">
      <c r="A236" s="32">
        <v>42850</v>
      </c>
      <c r="B236" s="32"/>
      <c r="C236" s="20">
        <f t="shared" si="3"/>
        <v>13.06</v>
      </c>
      <c r="D236" s="20">
        <f t="shared" si="4"/>
        <v>13.1498</v>
      </c>
      <c r="E236" s="20">
        <f t="shared" si="5"/>
        <v>13.1498</v>
      </c>
      <c r="F236" s="20">
        <f>ROUND(13.1498,4)</f>
        <v>13.1498</v>
      </c>
      <c r="G236" s="19"/>
      <c r="H236" s="29"/>
    </row>
    <row r="237" spans="1:8" ht="12.75" customHeight="1">
      <c r="A237" s="32">
        <v>42853</v>
      </c>
      <c r="B237" s="32"/>
      <c r="C237" s="20">
        <f t="shared" si="3"/>
        <v>13.06</v>
      </c>
      <c r="D237" s="20">
        <f t="shared" si="4"/>
        <v>13.1563</v>
      </c>
      <c r="E237" s="20">
        <f t="shared" si="5"/>
        <v>13.1563</v>
      </c>
      <c r="F237" s="20">
        <f>ROUND(13.1563,4)</f>
        <v>13.1563</v>
      </c>
      <c r="G237" s="19"/>
      <c r="H237" s="29"/>
    </row>
    <row r="238" spans="1:8" ht="12.75" customHeight="1">
      <c r="A238" s="32">
        <v>42859</v>
      </c>
      <c r="B238" s="32"/>
      <c r="C238" s="20">
        <f t="shared" si="3"/>
        <v>13.06</v>
      </c>
      <c r="D238" s="20">
        <f t="shared" si="4"/>
        <v>13.1693</v>
      </c>
      <c r="E238" s="20">
        <f t="shared" si="5"/>
        <v>13.1693</v>
      </c>
      <c r="F238" s="20">
        <f>ROUND(13.1693,4)</f>
        <v>13.1693</v>
      </c>
      <c r="G238" s="19"/>
      <c r="H238" s="29"/>
    </row>
    <row r="239" spans="1:8" ht="12.75" customHeight="1">
      <c r="A239" s="32">
        <v>42866</v>
      </c>
      <c r="B239" s="32"/>
      <c r="C239" s="20">
        <f t="shared" si="3"/>
        <v>13.06</v>
      </c>
      <c r="D239" s="20">
        <f t="shared" si="4"/>
        <v>13.1845</v>
      </c>
      <c r="E239" s="20">
        <f t="shared" si="5"/>
        <v>13.1845</v>
      </c>
      <c r="F239" s="20">
        <f>ROUND(13.1845,4)</f>
        <v>13.1845</v>
      </c>
      <c r="G239" s="19"/>
      <c r="H239" s="29"/>
    </row>
    <row r="240" spans="1:8" ht="12.75" customHeight="1">
      <c r="A240" s="32">
        <v>42881</v>
      </c>
      <c r="B240" s="32"/>
      <c r="C240" s="20">
        <f t="shared" si="3"/>
        <v>13.06</v>
      </c>
      <c r="D240" s="20">
        <f t="shared" si="4"/>
        <v>13.2171</v>
      </c>
      <c r="E240" s="20">
        <f t="shared" si="5"/>
        <v>13.2171</v>
      </c>
      <c r="F240" s="20">
        <f>ROUND(13.2171,4)</f>
        <v>13.2171</v>
      </c>
      <c r="G240" s="19"/>
      <c r="H240" s="29"/>
    </row>
    <row r="241" spans="1:8" ht="12.75" customHeight="1">
      <c r="A241" s="32">
        <v>42914</v>
      </c>
      <c r="B241" s="32"/>
      <c r="C241" s="20">
        <f t="shared" si="3"/>
        <v>13.06</v>
      </c>
      <c r="D241" s="20">
        <f t="shared" si="4"/>
        <v>13.2897</v>
      </c>
      <c r="E241" s="20">
        <f t="shared" si="5"/>
        <v>13.2897</v>
      </c>
      <c r="F241" s="20">
        <f>ROUND(13.2897,4)</f>
        <v>13.2897</v>
      </c>
      <c r="G241" s="19"/>
      <c r="H241" s="29"/>
    </row>
    <row r="242" spans="1:8" ht="12.75" customHeight="1">
      <c r="A242" s="32">
        <v>42916</v>
      </c>
      <c r="B242" s="32"/>
      <c r="C242" s="20">
        <f t="shared" si="3"/>
        <v>13.06</v>
      </c>
      <c r="D242" s="20">
        <f t="shared" si="4"/>
        <v>13.2942</v>
      </c>
      <c r="E242" s="20">
        <f t="shared" si="5"/>
        <v>13.2942</v>
      </c>
      <c r="F242" s="20">
        <f>ROUND(13.2942,4)</f>
        <v>13.2942</v>
      </c>
      <c r="G242" s="19"/>
      <c r="H242" s="29"/>
    </row>
    <row r="243" spans="1:8" ht="12.75" customHeight="1">
      <c r="A243" s="32">
        <v>42928</v>
      </c>
      <c r="B243" s="32"/>
      <c r="C243" s="20">
        <f t="shared" si="3"/>
        <v>13.06</v>
      </c>
      <c r="D243" s="20">
        <f t="shared" si="4"/>
        <v>13.3212</v>
      </c>
      <c r="E243" s="20">
        <f t="shared" si="5"/>
        <v>13.3212</v>
      </c>
      <c r="F243" s="20">
        <f>ROUND(13.3212,4)</f>
        <v>13.3212</v>
      </c>
      <c r="G243" s="19"/>
      <c r="H243" s="29"/>
    </row>
    <row r="244" spans="1:8" ht="12.75" customHeight="1">
      <c r="A244" s="32">
        <v>42937</v>
      </c>
      <c r="B244" s="32"/>
      <c r="C244" s="20">
        <f t="shared" si="3"/>
        <v>13.06</v>
      </c>
      <c r="D244" s="20">
        <f t="shared" si="4"/>
        <v>13.3415</v>
      </c>
      <c r="E244" s="20">
        <f t="shared" si="5"/>
        <v>13.3415</v>
      </c>
      <c r="F244" s="20">
        <f>ROUND(13.3415,4)</f>
        <v>13.3415</v>
      </c>
      <c r="G244" s="19"/>
      <c r="H244" s="29"/>
    </row>
    <row r="245" spans="1:8" ht="12.75" customHeight="1">
      <c r="A245" s="32">
        <v>42941</v>
      </c>
      <c r="B245" s="32"/>
      <c r="C245" s="20">
        <f t="shared" si="3"/>
        <v>13.06</v>
      </c>
      <c r="D245" s="20">
        <f t="shared" si="4"/>
        <v>13.3506</v>
      </c>
      <c r="E245" s="20">
        <f t="shared" si="5"/>
        <v>13.3506</v>
      </c>
      <c r="F245" s="20">
        <f>ROUND(13.3506,4)</f>
        <v>13.3506</v>
      </c>
      <c r="G245" s="19"/>
      <c r="H245" s="29"/>
    </row>
    <row r="246" spans="1:8" ht="12.75" customHeight="1">
      <c r="A246" s="32">
        <v>42943</v>
      </c>
      <c r="B246" s="32"/>
      <c r="C246" s="20">
        <f t="shared" si="3"/>
        <v>13.06</v>
      </c>
      <c r="D246" s="20">
        <f t="shared" si="4"/>
        <v>13.3551</v>
      </c>
      <c r="E246" s="20">
        <f t="shared" si="5"/>
        <v>13.3551</v>
      </c>
      <c r="F246" s="20">
        <f>ROUND(13.3551,4)</f>
        <v>13.3551</v>
      </c>
      <c r="G246" s="19"/>
      <c r="H246" s="29"/>
    </row>
    <row r="247" spans="1:8" ht="12.75" customHeight="1">
      <c r="A247" s="32">
        <v>42947</v>
      </c>
      <c r="B247" s="32"/>
      <c r="C247" s="20">
        <f t="shared" si="3"/>
        <v>13.06</v>
      </c>
      <c r="D247" s="20">
        <f t="shared" si="4"/>
        <v>13.3641</v>
      </c>
      <c r="E247" s="20">
        <f t="shared" si="5"/>
        <v>13.3641</v>
      </c>
      <c r="F247" s="20">
        <f>ROUND(13.3641,4)</f>
        <v>13.3641</v>
      </c>
      <c r="G247" s="19"/>
      <c r="H247" s="29"/>
    </row>
    <row r="248" spans="1:8" ht="12.75" customHeight="1">
      <c r="A248" s="32">
        <v>42958</v>
      </c>
      <c r="B248" s="32"/>
      <c r="C248" s="20">
        <f t="shared" si="3"/>
        <v>13.06</v>
      </c>
      <c r="D248" s="20">
        <f t="shared" si="4"/>
        <v>13.3889</v>
      </c>
      <c r="E248" s="20">
        <f t="shared" si="5"/>
        <v>13.3889</v>
      </c>
      <c r="F248" s="20">
        <f>ROUND(13.3889,4)</f>
        <v>13.3889</v>
      </c>
      <c r="G248" s="19"/>
      <c r="H248" s="29"/>
    </row>
    <row r="249" spans="1:8" ht="12.75" customHeight="1">
      <c r="A249" s="32">
        <v>42976</v>
      </c>
      <c r="B249" s="32"/>
      <c r="C249" s="20">
        <f t="shared" si="3"/>
        <v>13.06</v>
      </c>
      <c r="D249" s="20">
        <f t="shared" si="4"/>
        <v>13.4295</v>
      </c>
      <c r="E249" s="20">
        <f t="shared" si="5"/>
        <v>13.4295</v>
      </c>
      <c r="F249" s="20">
        <f>ROUND(13.4295,4)</f>
        <v>13.4295</v>
      </c>
      <c r="G249" s="19"/>
      <c r="H249" s="29"/>
    </row>
    <row r="250" spans="1:8" ht="12.75" customHeight="1">
      <c r="A250" s="32">
        <v>43005</v>
      </c>
      <c r="B250" s="32"/>
      <c r="C250" s="20">
        <f t="shared" si="3"/>
        <v>13.06</v>
      </c>
      <c r="D250" s="20">
        <f t="shared" si="4"/>
        <v>13.4946</v>
      </c>
      <c r="E250" s="20">
        <f t="shared" si="5"/>
        <v>13.4946</v>
      </c>
      <c r="F250" s="20">
        <f>ROUND(13.4946,4)</f>
        <v>13.4946</v>
      </c>
      <c r="G250" s="19"/>
      <c r="H250" s="29"/>
    </row>
    <row r="251" spans="1:8" ht="12.75" customHeight="1">
      <c r="A251" s="32">
        <v>43031</v>
      </c>
      <c r="B251" s="32"/>
      <c r="C251" s="20">
        <f t="shared" si="3"/>
        <v>13.06</v>
      </c>
      <c r="D251" s="20">
        <f t="shared" si="4"/>
        <v>13.5526</v>
      </c>
      <c r="E251" s="20">
        <f t="shared" si="5"/>
        <v>13.5526</v>
      </c>
      <c r="F251" s="20">
        <f>ROUND(13.5526,4)</f>
        <v>13.5526</v>
      </c>
      <c r="G251" s="19"/>
      <c r="H251" s="29"/>
    </row>
    <row r="252" spans="1:8" ht="12.75" customHeight="1">
      <c r="A252" s="32">
        <v>43035</v>
      </c>
      <c r="B252" s="32"/>
      <c r="C252" s="20">
        <f t="shared" si="3"/>
        <v>13.06</v>
      </c>
      <c r="D252" s="20">
        <f t="shared" si="4"/>
        <v>13.5615</v>
      </c>
      <c r="E252" s="20">
        <f t="shared" si="5"/>
        <v>13.5615</v>
      </c>
      <c r="F252" s="20">
        <f>ROUND(13.5615,4)</f>
        <v>13.5615</v>
      </c>
      <c r="G252" s="19"/>
      <c r="H252" s="29"/>
    </row>
    <row r="253" spans="1:8" ht="12.75" customHeight="1">
      <c r="A253" s="32">
        <v>43052</v>
      </c>
      <c r="B253" s="32"/>
      <c r="C253" s="20">
        <f t="shared" si="3"/>
        <v>13.06</v>
      </c>
      <c r="D253" s="20">
        <f t="shared" si="4"/>
        <v>13.5994</v>
      </c>
      <c r="E253" s="20">
        <f t="shared" si="5"/>
        <v>13.5994</v>
      </c>
      <c r="F253" s="20">
        <f>ROUND(13.5994,4)</f>
        <v>13.5994</v>
      </c>
      <c r="G253" s="19"/>
      <c r="H253" s="29"/>
    </row>
    <row r="254" spans="1:8" ht="12.75" customHeight="1">
      <c r="A254" s="32">
        <v>43067</v>
      </c>
      <c r="B254" s="32"/>
      <c r="C254" s="20">
        <f t="shared" si="3"/>
        <v>13.06</v>
      </c>
      <c r="D254" s="20">
        <f t="shared" si="4"/>
        <v>13.6328</v>
      </c>
      <c r="E254" s="20">
        <f t="shared" si="5"/>
        <v>13.6328</v>
      </c>
      <c r="F254" s="20">
        <f>ROUND(13.6328,4)</f>
        <v>13.6328</v>
      </c>
      <c r="G254" s="19"/>
      <c r="H254" s="29"/>
    </row>
    <row r="255" spans="1:8" ht="12.75" customHeight="1">
      <c r="A255" s="32">
        <v>43091</v>
      </c>
      <c r="B255" s="32"/>
      <c r="C255" s="20">
        <f t="shared" si="3"/>
        <v>13.06</v>
      </c>
      <c r="D255" s="20">
        <f t="shared" si="4"/>
        <v>13.6862</v>
      </c>
      <c r="E255" s="20">
        <f t="shared" si="5"/>
        <v>13.6862</v>
      </c>
      <c r="F255" s="20">
        <f>ROUND(13.6862,4)</f>
        <v>13.6862</v>
      </c>
      <c r="G255" s="19"/>
      <c r="H255" s="29"/>
    </row>
    <row r="256" spans="1:8" ht="12.75" customHeight="1">
      <c r="A256" s="32">
        <v>43144</v>
      </c>
      <c r="B256" s="32"/>
      <c r="C256" s="20">
        <f t="shared" si="3"/>
        <v>13.06</v>
      </c>
      <c r="D256" s="20">
        <f t="shared" si="4"/>
        <v>13.8029</v>
      </c>
      <c r="E256" s="20">
        <f t="shared" si="5"/>
        <v>13.8029</v>
      </c>
      <c r="F256" s="20">
        <f>ROUND(13.8029,4)</f>
        <v>13.8029</v>
      </c>
      <c r="G256" s="19"/>
      <c r="H256" s="29"/>
    </row>
    <row r="257" spans="1:8" ht="12.75" customHeight="1">
      <c r="A257" s="32">
        <v>43146</v>
      </c>
      <c r="B257" s="32"/>
      <c r="C257" s="20">
        <f t="shared" si="3"/>
        <v>13.06</v>
      </c>
      <c r="D257" s="20">
        <f t="shared" si="4"/>
        <v>13.8073</v>
      </c>
      <c r="E257" s="20">
        <f t="shared" si="5"/>
        <v>13.8073</v>
      </c>
      <c r="F257" s="20">
        <f>ROUND(13.8073,4)</f>
        <v>13.8073</v>
      </c>
      <c r="G257" s="19"/>
      <c r="H257" s="29"/>
    </row>
    <row r="258" spans="1:8" ht="12.75" customHeight="1">
      <c r="A258" s="32">
        <v>43215</v>
      </c>
      <c r="B258" s="32"/>
      <c r="C258" s="20">
        <f t="shared" si="3"/>
        <v>13.06</v>
      </c>
      <c r="D258" s="20">
        <f t="shared" si="4"/>
        <v>13.9975</v>
      </c>
      <c r="E258" s="20">
        <f t="shared" si="5"/>
        <v>13.9975</v>
      </c>
      <c r="F258" s="20">
        <f>ROUND(13.9975,4)</f>
        <v>13.9975</v>
      </c>
      <c r="G258" s="19"/>
      <c r="H258" s="29"/>
    </row>
    <row r="259" spans="1:8" ht="12.75" customHeight="1">
      <c r="A259" s="32">
        <v>43231</v>
      </c>
      <c r="B259" s="32"/>
      <c r="C259" s="20">
        <f t="shared" si="3"/>
        <v>13.06</v>
      </c>
      <c r="D259" s="20">
        <f t="shared" si="4"/>
        <v>14.0493</v>
      </c>
      <c r="E259" s="20">
        <f t="shared" si="5"/>
        <v>14.0493</v>
      </c>
      <c r="F259" s="20">
        <f>ROUND(14.0493,4)</f>
        <v>14.0493</v>
      </c>
      <c r="G259" s="19"/>
      <c r="H259" s="29"/>
    </row>
    <row r="260" spans="1:8" ht="12.75" customHeight="1">
      <c r="A260" s="32">
        <v>43235</v>
      </c>
      <c r="B260" s="32"/>
      <c r="C260" s="20">
        <f t="shared" si="3"/>
        <v>13.06</v>
      </c>
      <c r="D260" s="20">
        <f t="shared" si="4"/>
        <v>14.0623</v>
      </c>
      <c r="E260" s="20">
        <f t="shared" si="5"/>
        <v>14.0623</v>
      </c>
      <c r="F260" s="20">
        <f>ROUND(14.0623,4)</f>
        <v>14.0623</v>
      </c>
      <c r="G260" s="19"/>
      <c r="H260" s="29"/>
    </row>
    <row r="261" spans="1:8" ht="12.75" customHeight="1">
      <c r="A261" s="32">
        <v>43325</v>
      </c>
      <c r="B261" s="32"/>
      <c r="C261" s="20">
        <f t="shared" si="3"/>
        <v>13.06</v>
      </c>
      <c r="D261" s="20">
        <f t="shared" si="4"/>
        <v>14.3536</v>
      </c>
      <c r="E261" s="20">
        <f t="shared" si="5"/>
        <v>14.3536</v>
      </c>
      <c r="F261" s="20">
        <f>ROUND(14.3536,4)</f>
        <v>14.3536</v>
      </c>
      <c r="G261" s="19"/>
      <c r="H261" s="29"/>
    </row>
    <row r="262" spans="1:8" ht="12.75" customHeight="1">
      <c r="A262" s="32">
        <v>43417</v>
      </c>
      <c r="B262" s="32"/>
      <c r="C262" s="20">
        <f t="shared" si="3"/>
        <v>13.06</v>
      </c>
      <c r="D262" s="20">
        <f t="shared" si="4"/>
        <v>14.6515</v>
      </c>
      <c r="E262" s="20">
        <f t="shared" si="5"/>
        <v>14.6515</v>
      </c>
      <c r="F262" s="20">
        <f>ROUND(14.6515,4)</f>
        <v>14.6515</v>
      </c>
      <c r="G262" s="19"/>
      <c r="H262" s="29"/>
    </row>
    <row r="263" spans="1:8" ht="12.75" customHeight="1">
      <c r="A263" s="32">
        <v>43509</v>
      </c>
      <c r="B263" s="32"/>
      <c r="C263" s="20">
        <f t="shared" si="3"/>
        <v>13.06</v>
      </c>
      <c r="D263" s="20">
        <f t="shared" si="4"/>
        <v>14.9493</v>
      </c>
      <c r="E263" s="20">
        <f t="shared" si="5"/>
        <v>14.9493</v>
      </c>
      <c r="F263" s="20">
        <f>ROUND(14.9493,4)</f>
        <v>14.9493</v>
      </c>
      <c r="G263" s="19"/>
      <c r="H263" s="29"/>
    </row>
    <row r="264" spans="1:8" ht="12.75" customHeight="1">
      <c r="A264" s="32" t="s">
        <v>61</v>
      </c>
      <c r="B264" s="32"/>
      <c r="C264" s="18"/>
      <c r="D264" s="18"/>
      <c r="E264" s="18"/>
      <c r="F264" s="18"/>
      <c r="G264" s="19"/>
      <c r="H264" s="29"/>
    </row>
    <row r="265" spans="1:8" ht="12.75" customHeight="1">
      <c r="A265" s="32">
        <v>42905</v>
      </c>
      <c r="B265" s="32"/>
      <c r="C265" s="20">
        <f>ROUND(1.0616,4)</f>
        <v>1.0616</v>
      </c>
      <c r="D265" s="20">
        <f>F265</f>
        <v>1.0665</v>
      </c>
      <c r="E265" s="20">
        <f>F265</f>
        <v>1.0665</v>
      </c>
      <c r="F265" s="20">
        <f>ROUND(1.066507,4)</f>
        <v>1.0665</v>
      </c>
      <c r="G265" s="19"/>
      <c r="H265" s="29"/>
    </row>
    <row r="266" spans="1:8" ht="12.75" customHeight="1">
      <c r="A266" s="32">
        <v>42996</v>
      </c>
      <c r="B266" s="32"/>
      <c r="C266" s="20">
        <f>ROUND(1.0616,4)</f>
        <v>1.0616</v>
      </c>
      <c r="D266" s="20">
        <f>F266</f>
        <v>1.0718</v>
      </c>
      <c r="E266" s="20">
        <f>F266</f>
        <v>1.0718</v>
      </c>
      <c r="F266" s="20">
        <f>ROUND(1.071775,4)</f>
        <v>1.0718</v>
      </c>
      <c r="G266" s="19"/>
      <c r="H266" s="29"/>
    </row>
    <row r="267" spans="1:8" ht="12.75" customHeight="1">
      <c r="A267" s="32">
        <v>43087</v>
      </c>
      <c r="B267" s="32"/>
      <c r="C267" s="20">
        <f>ROUND(1.0616,4)</f>
        <v>1.0616</v>
      </c>
      <c r="D267" s="20">
        <f>F267</f>
        <v>1.0775</v>
      </c>
      <c r="E267" s="20">
        <f>F267</f>
        <v>1.0775</v>
      </c>
      <c r="F267" s="20">
        <f>ROUND(1.077455,4)</f>
        <v>1.0775</v>
      </c>
      <c r="G267" s="19"/>
      <c r="H267" s="29"/>
    </row>
    <row r="268" spans="1:8" ht="12.75" customHeight="1">
      <c r="A268" s="32">
        <v>43178</v>
      </c>
      <c r="B268" s="32"/>
      <c r="C268" s="20">
        <f>ROUND(1.0616,4)</f>
        <v>1.0616</v>
      </c>
      <c r="D268" s="20">
        <f>F268</f>
        <v>1.0839</v>
      </c>
      <c r="E268" s="20">
        <f>F268</f>
        <v>1.0839</v>
      </c>
      <c r="F268" s="20">
        <f>ROUND(1.0839075,4)</f>
        <v>1.0839</v>
      </c>
      <c r="G268" s="19"/>
      <c r="H268" s="29"/>
    </row>
    <row r="269" spans="1:8" ht="12.75" customHeight="1">
      <c r="A269" s="32" t="s">
        <v>62</v>
      </c>
      <c r="B269" s="32"/>
      <c r="C269" s="18"/>
      <c r="D269" s="18"/>
      <c r="E269" s="18"/>
      <c r="F269" s="18"/>
      <c r="G269" s="19"/>
      <c r="H269" s="29"/>
    </row>
    <row r="270" spans="1:8" ht="12.75" customHeight="1">
      <c r="A270" s="32">
        <v>42905</v>
      </c>
      <c r="B270" s="32"/>
      <c r="C270" s="20">
        <f>ROUND(21756.32,4)</f>
        <v>21756.32</v>
      </c>
      <c r="D270" s="20">
        <f>F270</f>
        <v>22145.57</v>
      </c>
      <c r="E270" s="20">
        <f>F270</f>
        <v>22145.57</v>
      </c>
      <c r="F270" s="20">
        <f>ROUND(22145.57,4)</f>
        <v>22145.57</v>
      </c>
      <c r="G270" s="19"/>
      <c r="H270" s="29"/>
    </row>
    <row r="271" spans="1:8" ht="12.75" customHeight="1">
      <c r="A271" s="32">
        <v>42996</v>
      </c>
      <c r="B271" s="32"/>
      <c r="C271" s="20">
        <f>ROUND(21756.32,4)</f>
        <v>21756.32</v>
      </c>
      <c r="D271" s="20">
        <f>F271</f>
        <v>22501.92</v>
      </c>
      <c r="E271" s="20">
        <f>F271</f>
        <v>22501.92</v>
      </c>
      <c r="F271" s="20">
        <f>ROUND(22501.92,4)</f>
        <v>22501.92</v>
      </c>
      <c r="G271" s="19"/>
      <c r="H271" s="29"/>
    </row>
    <row r="272" spans="1:8" ht="12.75" customHeight="1">
      <c r="A272" s="32">
        <v>43087</v>
      </c>
      <c r="B272" s="32"/>
      <c r="C272" s="20">
        <f>ROUND(21756.32,4)</f>
        <v>21756.32</v>
      </c>
      <c r="D272" s="20">
        <f>F272</f>
        <v>22862.5</v>
      </c>
      <c r="E272" s="20">
        <f>F272</f>
        <v>22862.5</v>
      </c>
      <c r="F272" s="20">
        <f>ROUND(22862.5,4)</f>
        <v>22862.5</v>
      </c>
      <c r="G272" s="19"/>
      <c r="H272" s="29"/>
    </row>
    <row r="273" spans="1:8" ht="12.75" customHeight="1">
      <c r="A273" s="32" t="s">
        <v>63</v>
      </c>
      <c r="B273" s="32"/>
      <c r="C273" s="18"/>
      <c r="D273" s="18"/>
      <c r="E273" s="18"/>
      <c r="F273" s="18"/>
      <c r="G273" s="19"/>
      <c r="H273" s="29"/>
    </row>
    <row r="274" spans="1:8" ht="12.75" customHeight="1">
      <c r="A274" s="32">
        <v>42905</v>
      </c>
      <c r="B274" s="32"/>
      <c r="C274" s="20">
        <f aca="true" t="shared" si="6" ref="C274:C280">ROUND(9.920376,4)</f>
        <v>9.9204</v>
      </c>
      <c r="D274" s="20">
        <f aca="true" t="shared" si="7" ref="D274:D280">F274</f>
        <v>10.0613</v>
      </c>
      <c r="E274" s="20">
        <f aca="true" t="shared" si="8" ref="E274:E280">F274</f>
        <v>10.0613</v>
      </c>
      <c r="F274" s="20">
        <f>ROUND(10.0613,4)</f>
        <v>10.0613</v>
      </c>
      <c r="G274" s="19"/>
      <c r="H274" s="29"/>
    </row>
    <row r="275" spans="1:8" ht="12.75" customHeight="1">
      <c r="A275" s="32">
        <v>42996</v>
      </c>
      <c r="B275" s="32"/>
      <c r="C275" s="20">
        <f t="shared" si="6"/>
        <v>9.9204</v>
      </c>
      <c r="D275" s="20">
        <f t="shared" si="7"/>
        <v>10.2025</v>
      </c>
      <c r="E275" s="20">
        <f t="shared" si="8"/>
        <v>10.2025</v>
      </c>
      <c r="F275" s="20">
        <f>ROUND(10.2025,4)</f>
        <v>10.2025</v>
      </c>
      <c r="G275" s="19"/>
      <c r="H275" s="29"/>
    </row>
    <row r="276" spans="1:8" ht="12.75" customHeight="1">
      <c r="A276" s="32">
        <v>43087</v>
      </c>
      <c r="B276" s="32"/>
      <c r="C276" s="20">
        <f t="shared" si="6"/>
        <v>9.9204</v>
      </c>
      <c r="D276" s="20">
        <f t="shared" si="7"/>
        <v>10.3436</v>
      </c>
      <c r="E276" s="20">
        <f t="shared" si="8"/>
        <v>10.3436</v>
      </c>
      <c r="F276" s="20">
        <f>ROUND(10.3436,4)</f>
        <v>10.3436</v>
      </c>
      <c r="G276" s="19"/>
      <c r="H276" s="29"/>
    </row>
    <row r="277" spans="1:8" ht="12.75" customHeight="1">
      <c r="A277" s="32">
        <v>43178</v>
      </c>
      <c r="B277" s="32"/>
      <c r="C277" s="20">
        <f t="shared" si="6"/>
        <v>9.9204</v>
      </c>
      <c r="D277" s="20">
        <f t="shared" si="7"/>
        <v>10.4831</v>
      </c>
      <c r="E277" s="20">
        <f t="shared" si="8"/>
        <v>10.4831</v>
      </c>
      <c r="F277" s="20">
        <f>ROUND(10.4831,4)</f>
        <v>10.4831</v>
      </c>
      <c r="G277" s="19"/>
      <c r="H277" s="29"/>
    </row>
    <row r="278" spans="1:8" ht="12.75" customHeight="1">
      <c r="A278" s="32">
        <v>43269</v>
      </c>
      <c r="B278" s="32"/>
      <c r="C278" s="20">
        <f t="shared" si="6"/>
        <v>9.9204</v>
      </c>
      <c r="D278" s="20">
        <f t="shared" si="7"/>
        <v>10.6952</v>
      </c>
      <c r="E278" s="20">
        <f t="shared" si="8"/>
        <v>10.6952</v>
      </c>
      <c r="F278" s="20">
        <f>ROUND(10.6952,4)</f>
        <v>10.6952</v>
      </c>
      <c r="G278" s="19"/>
      <c r="H278" s="29"/>
    </row>
    <row r="279" spans="1:8" ht="12.75" customHeight="1">
      <c r="A279" s="32">
        <v>43360</v>
      </c>
      <c r="B279" s="32"/>
      <c r="C279" s="20">
        <f t="shared" si="6"/>
        <v>9.9204</v>
      </c>
      <c r="D279" s="20">
        <f t="shared" si="7"/>
        <v>10.9088</v>
      </c>
      <c r="E279" s="20">
        <f t="shared" si="8"/>
        <v>10.9088</v>
      </c>
      <c r="F279" s="20">
        <f>ROUND(10.9088,4)</f>
        <v>10.9088</v>
      </c>
      <c r="G279" s="19"/>
      <c r="H279" s="29"/>
    </row>
    <row r="280" spans="1:8" ht="12.75" customHeight="1">
      <c r="A280" s="32">
        <v>43448</v>
      </c>
      <c r="B280" s="32"/>
      <c r="C280" s="20">
        <f t="shared" si="6"/>
        <v>9.9204</v>
      </c>
      <c r="D280" s="20">
        <f t="shared" si="7"/>
        <v>11.7834</v>
      </c>
      <c r="E280" s="20">
        <f t="shared" si="8"/>
        <v>11.7834</v>
      </c>
      <c r="F280" s="20">
        <f>ROUND(11.7834,4)</f>
        <v>11.7834</v>
      </c>
      <c r="G280" s="19"/>
      <c r="H280" s="29"/>
    </row>
    <row r="281" spans="1:8" ht="12.75" customHeight="1">
      <c r="A281" s="32" t="s">
        <v>64</v>
      </c>
      <c r="B281" s="32"/>
      <c r="C281" s="18"/>
      <c r="D281" s="18"/>
      <c r="E281" s="18"/>
      <c r="F281" s="18"/>
      <c r="G281" s="19"/>
      <c r="H281" s="29"/>
    </row>
    <row r="282" spans="1:8" ht="12.75" customHeight="1">
      <c r="A282" s="32">
        <v>42905</v>
      </c>
      <c r="B282" s="32"/>
      <c r="C282" s="20">
        <f>ROUND(9.70426512111755,4)</f>
        <v>9.7043</v>
      </c>
      <c r="D282" s="20">
        <f>F282</f>
        <v>9.8727</v>
      </c>
      <c r="E282" s="20">
        <f>F282</f>
        <v>9.8727</v>
      </c>
      <c r="F282" s="20">
        <f>ROUND(9.8727,4)</f>
        <v>9.8727</v>
      </c>
      <c r="G282" s="19"/>
      <c r="H282" s="29"/>
    </row>
    <row r="283" spans="1:8" ht="12.75" customHeight="1">
      <c r="A283" s="32">
        <v>42996</v>
      </c>
      <c r="B283" s="32"/>
      <c r="C283" s="20">
        <f>ROUND(9.70426512111755,4)</f>
        <v>9.7043</v>
      </c>
      <c r="D283" s="20">
        <f>F283</f>
        <v>10.0418</v>
      </c>
      <c r="E283" s="20">
        <f>F283</f>
        <v>10.0418</v>
      </c>
      <c r="F283" s="20">
        <f>ROUND(10.0418,4)</f>
        <v>10.0418</v>
      </c>
      <c r="G283" s="19"/>
      <c r="H283" s="29"/>
    </row>
    <row r="284" spans="1:8" ht="12.75" customHeight="1">
      <c r="A284" s="32">
        <v>43087</v>
      </c>
      <c r="B284" s="32"/>
      <c r="C284" s="20">
        <f>ROUND(9.70426512111755,4)</f>
        <v>9.7043</v>
      </c>
      <c r="D284" s="20">
        <f>F284</f>
        <v>10.2116</v>
      </c>
      <c r="E284" s="20">
        <f>F284</f>
        <v>10.2116</v>
      </c>
      <c r="F284" s="20">
        <f>ROUND(10.2116,4)</f>
        <v>10.2116</v>
      </c>
      <c r="G284" s="19"/>
      <c r="H284" s="29"/>
    </row>
    <row r="285" spans="1:8" ht="12.75" customHeight="1">
      <c r="A285" s="32">
        <v>43178</v>
      </c>
      <c r="B285" s="32"/>
      <c r="C285" s="20">
        <f>ROUND(9.70426512111755,4)</f>
        <v>9.7043</v>
      </c>
      <c r="D285" s="20">
        <f>F285</f>
        <v>10.3793</v>
      </c>
      <c r="E285" s="20">
        <f>F285</f>
        <v>10.3793</v>
      </c>
      <c r="F285" s="20">
        <f>ROUND(10.3793,4)</f>
        <v>10.3793</v>
      </c>
      <c r="G285" s="19"/>
      <c r="H285" s="29"/>
    </row>
    <row r="286" spans="1:8" ht="12.75" customHeight="1">
      <c r="A286" s="32" t="s">
        <v>65</v>
      </c>
      <c r="B286" s="32"/>
      <c r="C286" s="18"/>
      <c r="D286" s="18"/>
      <c r="E286" s="18"/>
      <c r="F286" s="18"/>
      <c r="G286" s="19"/>
      <c r="H286" s="29"/>
    </row>
    <row r="287" spans="1:8" ht="12.75" customHeight="1">
      <c r="A287" s="32">
        <v>42905</v>
      </c>
      <c r="B287" s="32"/>
      <c r="C287" s="20">
        <f>ROUND(1.92494269881336,4)</f>
        <v>1.9249</v>
      </c>
      <c r="D287" s="20">
        <f>F287</f>
        <v>1.909</v>
      </c>
      <c r="E287" s="20">
        <f>F287</f>
        <v>1.909</v>
      </c>
      <c r="F287" s="20">
        <f>ROUND(1.909,4)</f>
        <v>1.909</v>
      </c>
      <c r="G287" s="19"/>
      <c r="H287" s="29"/>
    </row>
    <row r="288" spans="1:8" ht="12.75" customHeight="1">
      <c r="A288" s="32">
        <v>42996</v>
      </c>
      <c r="B288" s="32"/>
      <c r="C288" s="20">
        <f>ROUND(1.92494269881336,4)</f>
        <v>1.9249</v>
      </c>
      <c r="D288" s="20">
        <f>F288</f>
        <v>1.9236</v>
      </c>
      <c r="E288" s="20">
        <f>F288</f>
        <v>1.9236</v>
      </c>
      <c r="F288" s="20">
        <f>ROUND(1.9236,4)</f>
        <v>1.9236</v>
      </c>
      <c r="G288" s="19"/>
      <c r="H288" s="29"/>
    </row>
    <row r="289" spans="1:8" ht="12.75" customHeight="1">
      <c r="A289" s="32">
        <v>43087</v>
      </c>
      <c r="B289" s="32"/>
      <c r="C289" s="20">
        <f>ROUND(1.92494269881336,4)</f>
        <v>1.9249</v>
      </c>
      <c r="D289" s="20">
        <f>F289</f>
        <v>1.9384</v>
      </c>
      <c r="E289" s="20">
        <f>F289</f>
        <v>1.9384</v>
      </c>
      <c r="F289" s="20">
        <f>ROUND(1.9384,4)</f>
        <v>1.9384</v>
      </c>
      <c r="G289" s="19"/>
      <c r="H289" s="29"/>
    </row>
    <row r="290" spans="1:8" ht="12.75" customHeight="1">
      <c r="A290" s="32">
        <v>43178</v>
      </c>
      <c r="B290" s="32"/>
      <c r="C290" s="20">
        <f>ROUND(1.92494269881336,4)</f>
        <v>1.9249</v>
      </c>
      <c r="D290" s="20">
        <f>F290</f>
        <v>1.9522</v>
      </c>
      <c r="E290" s="20">
        <f>F290</f>
        <v>1.9522</v>
      </c>
      <c r="F290" s="20">
        <f>ROUND(1.9522,4)</f>
        <v>1.9522</v>
      </c>
      <c r="G290" s="19"/>
      <c r="H290" s="29"/>
    </row>
    <row r="291" spans="1:8" ht="12.75" customHeight="1">
      <c r="A291" s="32" t="s">
        <v>66</v>
      </c>
      <c r="B291" s="32"/>
      <c r="C291" s="18"/>
      <c r="D291" s="18"/>
      <c r="E291" s="18"/>
      <c r="F291" s="18"/>
      <c r="G291" s="19"/>
      <c r="H291" s="29"/>
    </row>
    <row r="292" spans="1:8" ht="12.75" customHeight="1">
      <c r="A292" s="32">
        <v>42905</v>
      </c>
      <c r="B292" s="32"/>
      <c r="C292" s="20">
        <f>ROUND(1.86520801496737,4)</f>
        <v>1.8652</v>
      </c>
      <c r="D292" s="20">
        <f>F292</f>
        <v>1.9043</v>
      </c>
      <c r="E292" s="20">
        <f>F292</f>
        <v>1.9043</v>
      </c>
      <c r="F292" s="20">
        <f>ROUND(1.9043299993,4)</f>
        <v>1.9043</v>
      </c>
      <c r="G292" s="19"/>
      <c r="H292" s="29"/>
    </row>
    <row r="293" spans="1:8" ht="12.75" customHeight="1">
      <c r="A293" s="32">
        <v>42996</v>
      </c>
      <c r="B293" s="32"/>
      <c r="C293" s="20">
        <f>ROUND(1.86520801496737,4)</f>
        <v>1.8652</v>
      </c>
      <c r="D293" s="20">
        <f>F293</f>
        <v>1.9439</v>
      </c>
      <c r="E293" s="20">
        <f>F293</f>
        <v>1.9439</v>
      </c>
      <c r="F293" s="20">
        <f>ROUND(1.9438663965,4)</f>
        <v>1.9439</v>
      </c>
      <c r="G293" s="19"/>
      <c r="H293" s="29"/>
    </row>
    <row r="294" spans="1:8" ht="12.75" customHeight="1">
      <c r="A294" s="32">
        <v>43087</v>
      </c>
      <c r="B294" s="32"/>
      <c r="C294" s="20">
        <f>ROUND(1.86520801496737,4)</f>
        <v>1.8652</v>
      </c>
      <c r="D294" s="20">
        <f>F294</f>
        <v>1.9845</v>
      </c>
      <c r="E294" s="20">
        <f>F294</f>
        <v>1.9845</v>
      </c>
      <c r="F294" s="20">
        <f>ROUND(1.9844521697,4)</f>
        <v>1.9845</v>
      </c>
      <c r="G294" s="19"/>
      <c r="H294" s="29"/>
    </row>
    <row r="295" spans="1:8" ht="12.75" customHeight="1">
      <c r="A295" s="32" t="s">
        <v>67</v>
      </c>
      <c r="B295" s="32"/>
      <c r="C295" s="18"/>
      <c r="D295" s="18"/>
      <c r="E295" s="18"/>
      <c r="F295" s="18"/>
      <c r="G295" s="19"/>
      <c r="H295" s="29"/>
    </row>
    <row r="296" spans="1:8" ht="12.75" customHeight="1">
      <c r="A296" s="32">
        <v>42905</v>
      </c>
      <c r="B296" s="32"/>
      <c r="C296" s="20">
        <f aca="true" t="shared" si="9" ref="C296:C302">ROUND(13.864496,4)</f>
        <v>13.8645</v>
      </c>
      <c r="D296" s="20">
        <f aca="true" t="shared" si="10" ref="D296:D302">F296</f>
        <v>14.1519</v>
      </c>
      <c r="E296" s="20">
        <f aca="true" t="shared" si="11" ref="E296:E302">F296</f>
        <v>14.1519</v>
      </c>
      <c r="F296" s="20">
        <f>ROUND(14.1519,4)</f>
        <v>14.1519</v>
      </c>
      <c r="G296" s="19"/>
      <c r="H296" s="29"/>
    </row>
    <row r="297" spans="1:8" ht="12.75" customHeight="1">
      <c r="A297" s="32">
        <v>42996</v>
      </c>
      <c r="B297" s="32"/>
      <c r="C297" s="20">
        <f t="shared" si="9"/>
        <v>13.8645</v>
      </c>
      <c r="D297" s="20">
        <f t="shared" si="10"/>
        <v>14.4417</v>
      </c>
      <c r="E297" s="20">
        <f t="shared" si="11"/>
        <v>14.4417</v>
      </c>
      <c r="F297" s="20">
        <f>ROUND(14.4417,4)</f>
        <v>14.4417</v>
      </c>
      <c r="G297" s="19"/>
      <c r="H297" s="29"/>
    </row>
    <row r="298" spans="1:8" ht="12.75" customHeight="1">
      <c r="A298" s="32">
        <v>43087</v>
      </c>
      <c r="B298" s="32"/>
      <c r="C298" s="20">
        <f t="shared" si="9"/>
        <v>13.8645</v>
      </c>
      <c r="D298" s="20">
        <f t="shared" si="10"/>
        <v>14.7368</v>
      </c>
      <c r="E298" s="20">
        <f t="shared" si="11"/>
        <v>14.7368</v>
      </c>
      <c r="F298" s="20">
        <f>ROUND(14.7368,4)</f>
        <v>14.7368</v>
      </c>
      <c r="G298" s="19"/>
      <c r="H298" s="29"/>
    </row>
    <row r="299" spans="1:8" ht="12.75" customHeight="1">
      <c r="A299" s="32">
        <v>43178</v>
      </c>
      <c r="B299" s="32"/>
      <c r="C299" s="20">
        <f t="shared" si="9"/>
        <v>13.8645</v>
      </c>
      <c r="D299" s="20">
        <f t="shared" si="10"/>
        <v>15.0423</v>
      </c>
      <c r="E299" s="20">
        <f t="shared" si="11"/>
        <v>15.0423</v>
      </c>
      <c r="F299" s="20">
        <f>ROUND(15.0423,4)</f>
        <v>15.0423</v>
      </c>
      <c r="G299" s="19"/>
      <c r="H299" s="29"/>
    </row>
    <row r="300" spans="1:8" ht="12.75" customHeight="1">
      <c r="A300" s="32">
        <v>43269</v>
      </c>
      <c r="B300" s="32"/>
      <c r="C300" s="20">
        <f t="shared" si="9"/>
        <v>13.8645</v>
      </c>
      <c r="D300" s="20">
        <f t="shared" si="10"/>
        <v>15.4067</v>
      </c>
      <c r="E300" s="20">
        <f t="shared" si="11"/>
        <v>15.4067</v>
      </c>
      <c r="F300" s="20">
        <f>ROUND(15.4067,4)</f>
        <v>15.4067</v>
      </c>
      <c r="G300" s="19"/>
      <c r="H300" s="29"/>
    </row>
    <row r="301" spans="1:8" ht="12.75" customHeight="1">
      <c r="A301" s="32">
        <v>43360</v>
      </c>
      <c r="B301" s="32"/>
      <c r="C301" s="20">
        <f t="shared" si="9"/>
        <v>13.8645</v>
      </c>
      <c r="D301" s="20">
        <f t="shared" si="10"/>
        <v>15.869</v>
      </c>
      <c r="E301" s="20">
        <f t="shared" si="11"/>
        <v>15.869</v>
      </c>
      <c r="F301" s="20">
        <f>ROUND(15.869,4)</f>
        <v>15.869</v>
      </c>
      <c r="G301" s="19"/>
      <c r="H301" s="29"/>
    </row>
    <row r="302" spans="1:8" ht="12.75" customHeight="1">
      <c r="A302" s="32">
        <v>43448</v>
      </c>
      <c r="B302" s="32"/>
      <c r="C302" s="20">
        <f t="shared" si="9"/>
        <v>13.8645</v>
      </c>
      <c r="D302" s="20">
        <f t="shared" si="10"/>
        <v>16.3216</v>
      </c>
      <c r="E302" s="20">
        <f t="shared" si="11"/>
        <v>16.3216</v>
      </c>
      <c r="F302" s="20">
        <f>ROUND(16.3216,4)</f>
        <v>16.3216</v>
      </c>
      <c r="G302" s="19"/>
      <c r="H302" s="29"/>
    </row>
    <row r="303" spans="1:8" ht="12.75" customHeight="1">
      <c r="A303" s="32" t="s">
        <v>68</v>
      </c>
      <c r="B303" s="32"/>
      <c r="C303" s="18"/>
      <c r="D303" s="18"/>
      <c r="E303" s="18"/>
      <c r="F303" s="18"/>
      <c r="G303" s="19"/>
      <c r="H303" s="29"/>
    </row>
    <row r="304" spans="1:8" ht="12.75" customHeight="1">
      <c r="A304" s="32">
        <v>42905</v>
      </c>
      <c r="B304" s="32"/>
      <c r="C304" s="20">
        <f>ROUND(12.9460745440127,4)</f>
        <v>12.9461</v>
      </c>
      <c r="D304" s="20">
        <f>F304</f>
        <v>13.2294</v>
      </c>
      <c r="E304" s="20">
        <f>F304</f>
        <v>13.2294</v>
      </c>
      <c r="F304" s="20">
        <f>ROUND(13.2294,4)</f>
        <v>13.2294</v>
      </c>
      <c r="G304" s="19"/>
      <c r="H304" s="29"/>
    </row>
    <row r="305" spans="1:8" ht="12.75" customHeight="1">
      <c r="A305" s="32">
        <v>42996</v>
      </c>
      <c r="B305" s="32"/>
      <c r="C305" s="20">
        <f>ROUND(12.9460745440127,4)</f>
        <v>12.9461</v>
      </c>
      <c r="D305" s="20">
        <f>F305</f>
        <v>13.5175</v>
      </c>
      <c r="E305" s="20">
        <f>F305</f>
        <v>13.5175</v>
      </c>
      <c r="F305" s="20">
        <f>ROUND(13.5175,4)</f>
        <v>13.5175</v>
      </c>
      <c r="G305" s="19"/>
      <c r="H305" s="29"/>
    </row>
    <row r="306" spans="1:8" ht="12.75" customHeight="1">
      <c r="A306" s="32">
        <v>43087</v>
      </c>
      <c r="B306" s="32"/>
      <c r="C306" s="20">
        <f>ROUND(12.9460745440127,4)</f>
        <v>12.9461</v>
      </c>
      <c r="D306" s="20">
        <f>F306</f>
        <v>13.8129</v>
      </c>
      <c r="E306" s="20">
        <f>F306</f>
        <v>13.8129</v>
      </c>
      <c r="F306" s="20">
        <f>ROUND(13.8129,4)</f>
        <v>13.8129</v>
      </c>
      <c r="G306" s="19"/>
      <c r="H306" s="29"/>
    </row>
    <row r="307" spans="1:8" ht="12.75" customHeight="1">
      <c r="A307" s="32">
        <v>43178</v>
      </c>
      <c r="B307" s="32"/>
      <c r="C307" s="20">
        <f>ROUND(12.9460745440127,4)</f>
        <v>12.9461</v>
      </c>
      <c r="D307" s="20">
        <f>F307</f>
        <v>14.1177</v>
      </c>
      <c r="E307" s="20">
        <f>F307</f>
        <v>14.1177</v>
      </c>
      <c r="F307" s="20">
        <f>ROUND(14.1177,4)</f>
        <v>14.1177</v>
      </c>
      <c r="G307" s="19"/>
      <c r="H307" s="29"/>
    </row>
    <row r="308" spans="1:8" ht="12.75" customHeight="1">
      <c r="A308" s="32">
        <v>43269</v>
      </c>
      <c r="B308" s="32"/>
      <c r="C308" s="20">
        <f>ROUND(12.9460745440127,4)</f>
        <v>12.9461</v>
      </c>
      <c r="D308" s="20">
        <f>F308</f>
        <v>14.4692</v>
      </c>
      <c r="E308" s="20">
        <f>F308</f>
        <v>14.4692</v>
      </c>
      <c r="F308" s="20">
        <f>ROUND(14.4692,4)</f>
        <v>14.4692</v>
      </c>
      <c r="G308" s="19"/>
      <c r="H308" s="29"/>
    </row>
    <row r="309" spans="1:8" ht="12.75" customHeight="1">
      <c r="A309" s="32" t="s">
        <v>69</v>
      </c>
      <c r="B309" s="32"/>
      <c r="C309" s="18"/>
      <c r="D309" s="18"/>
      <c r="E309" s="18"/>
      <c r="F309" s="18"/>
      <c r="G309" s="19"/>
      <c r="H309" s="29"/>
    </row>
    <row r="310" spans="1:8" ht="12.75" customHeight="1">
      <c r="A310" s="32">
        <v>42905</v>
      </c>
      <c r="B310" s="32"/>
      <c r="C310" s="20">
        <f aca="true" t="shared" si="12" ref="C310:C316">ROUND(15.935159,4)</f>
        <v>15.9352</v>
      </c>
      <c r="D310" s="20">
        <f aca="true" t="shared" si="13" ref="D310:D316">F310</f>
        <v>16.2311</v>
      </c>
      <c r="E310" s="20">
        <f aca="true" t="shared" si="14" ref="E310:E316">F310</f>
        <v>16.2311</v>
      </c>
      <c r="F310" s="20">
        <f>ROUND(16.2311,4)</f>
        <v>16.2311</v>
      </c>
      <c r="G310" s="19"/>
      <c r="H310" s="29"/>
    </row>
    <row r="311" spans="1:8" ht="12.75" customHeight="1">
      <c r="A311" s="32">
        <v>42996</v>
      </c>
      <c r="B311" s="32"/>
      <c r="C311" s="20">
        <f t="shared" si="12"/>
        <v>15.9352</v>
      </c>
      <c r="D311" s="20">
        <f t="shared" si="13"/>
        <v>16.5274</v>
      </c>
      <c r="E311" s="20">
        <f t="shared" si="14"/>
        <v>16.5274</v>
      </c>
      <c r="F311" s="20">
        <f>ROUND(16.5274,4)</f>
        <v>16.5274</v>
      </c>
      <c r="G311" s="19"/>
      <c r="H311" s="29"/>
    </row>
    <row r="312" spans="1:8" ht="12.75" customHeight="1">
      <c r="A312" s="32">
        <v>43087</v>
      </c>
      <c r="B312" s="32"/>
      <c r="C312" s="20">
        <f t="shared" si="12"/>
        <v>15.9352</v>
      </c>
      <c r="D312" s="20">
        <f t="shared" si="13"/>
        <v>16.8272</v>
      </c>
      <c r="E312" s="20">
        <f t="shared" si="14"/>
        <v>16.8272</v>
      </c>
      <c r="F312" s="20">
        <f>ROUND(16.8272,4)</f>
        <v>16.8272</v>
      </c>
      <c r="G312" s="19"/>
      <c r="H312" s="29"/>
    </row>
    <row r="313" spans="1:8" ht="12.75" customHeight="1">
      <c r="A313" s="32">
        <v>43178</v>
      </c>
      <c r="B313" s="32"/>
      <c r="C313" s="20">
        <f t="shared" si="12"/>
        <v>15.9352</v>
      </c>
      <c r="D313" s="20">
        <f t="shared" si="13"/>
        <v>17.1341</v>
      </c>
      <c r="E313" s="20">
        <f t="shared" si="14"/>
        <v>17.1341</v>
      </c>
      <c r="F313" s="20">
        <f>ROUND(17.1341,4)</f>
        <v>17.1341</v>
      </c>
      <c r="G313" s="19"/>
      <c r="H313" s="29"/>
    </row>
    <row r="314" spans="1:8" ht="12.75" customHeight="1">
      <c r="A314" s="32">
        <v>43269</v>
      </c>
      <c r="B314" s="32"/>
      <c r="C314" s="20">
        <f t="shared" si="12"/>
        <v>15.9352</v>
      </c>
      <c r="D314" s="20">
        <f t="shared" si="13"/>
        <v>17.5637</v>
      </c>
      <c r="E314" s="20">
        <f t="shared" si="14"/>
        <v>17.5637</v>
      </c>
      <c r="F314" s="20">
        <f>ROUND(17.5637,4)</f>
        <v>17.5637</v>
      </c>
      <c r="G314" s="19"/>
      <c r="H314" s="29"/>
    </row>
    <row r="315" spans="1:8" ht="12.75" customHeight="1">
      <c r="A315" s="32">
        <v>43360</v>
      </c>
      <c r="B315" s="32"/>
      <c r="C315" s="20">
        <f t="shared" si="12"/>
        <v>15.9352</v>
      </c>
      <c r="D315" s="20">
        <f t="shared" si="13"/>
        <v>17.996</v>
      </c>
      <c r="E315" s="20">
        <f t="shared" si="14"/>
        <v>17.996</v>
      </c>
      <c r="F315" s="20">
        <f>ROUND(17.996,4)</f>
        <v>17.996</v>
      </c>
      <c r="G315" s="19"/>
      <c r="H315" s="29"/>
    </row>
    <row r="316" spans="1:8" ht="12.75" customHeight="1">
      <c r="A316" s="32">
        <v>43448</v>
      </c>
      <c r="B316" s="32"/>
      <c r="C316" s="20">
        <f t="shared" si="12"/>
        <v>15.9352</v>
      </c>
      <c r="D316" s="20">
        <f t="shared" si="13"/>
        <v>17.996</v>
      </c>
      <c r="E316" s="20">
        <f t="shared" si="14"/>
        <v>17.996</v>
      </c>
      <c r="F316" s="20">
        <f>ROUND(17.996,4)</f>
        <v>17.996</v>
      </c>
      <c r="G316" s="19"/>
      <c r="H316" s="29"/>
    </row>
    <row r="317" spans="1:8" ht="12.75" customHeight="1">
      <c r="A317" s="32" t="s">
        <v>70</v>
      </c>
      <c r="B317" s="32"/>
      <c r="C317" s="18"/>
      <c r="D317" s="18"/>
      <c r="E317" s="18"/>
      <c r="F317" s="18"/>
      <c r="G317" s="19"/>
      <c r="H317" s="29"/>
    </row>
    <row r="318" spans="1:8" ht="12.75" customHeight="1">
      <c r="A318" s="32">
        <v>42905</v>
      </c>
      <c r="B318" s="32"/>
      <c r="C318" s="23">
        <f>ROUND(0.115682838585938,6)</f>
        <v>0.115683</v>
      </c>
      <c r="D318" s="23">
        <f>F318</f>
        <v>0.116175</v>
      </c>
      <c r="E318" s="23">
        <f>F318</f>
        <v>0.116175</v>
      </c>
      <c r="F318" s="23">
        <f>ROUND(0.116175,6)</f>
        <v>0.116175</v>
      </c>
      <c r="G318" s="19"/>
      <c r="H318" s="29"/>
    </row>
    <row r="319" spans="1:8" ht="12.75" customHeight="1">
      <c r="A319" s="32">
        <v>42996</v>
      </c>
      <c r="B319" s="32"/>
      <c r="C319" s="23">
        <f>ROUND(0.115682838585938,6)</f>
        <v>0.115683</v>
      </c>
      <c r="D319" s="23">
        <f>F319</f>
        <v>0.118549</v>
      </c>
      <c r="E319" s="23">
        <f>F319</f>
        <v>0.118549</v>
      </c>
      <c r="F319" s="23">
        <f>ROUND(0.118549,6)</f>
        <v>0.118549</v>
      </c>
      <c r="G319" s="19"/>
      <c r="H319" s="29"/>
    </row>
    <row r="320" spans="1:8" ht="12.75" customHeight="1">
      <c r="A320" s="32">
        <v>43087</v>
      </c>
      <c r="B320" s="32"/>
      <c r="C320" s="23">
        <f>ROUND(0.115682838585938,6)</f>
        <v>0.115683</v>
      </c>
      <c r="D320" s="23">
        <f>F320</f>
        <v>0.120964</v>
      </c>
      <c r="E320" s="23">
        <f>F320</f>
        <v>0.120964</v>
      </c>
      <c r="F320" s="23">
        <f>ROUND(0.120964,6)</f>
        <v>0.120964</v>
      </c>
      <c r="G320" s="19"/>
      <c r="H320" s="29"/>
    </row>
    <row r="321" spans="1:8" ht="12.75" customHeight="1">
      <c r="A321" s="32">
        <v>43178</v>
      </c>
      <c r="B321" s="32"/>
      <c r="C321" s="23">
        <f>ROUND(0.115682838585938,6)</f>
        <v>0.115683</v>
      </c>
      <c r="D321" s="23">
        <f>F321</f>
        <v>0.123452</v>
      </c>
      <c r="E321" s="23">
        <f>F321</f>
        <v>0.123452</v>
      </c>
      <c r="F321" s="23">
        <f>ROUND(0.123452,6)</f>
        <v>0.123452</v>
      </c>
      <c r="G321" s="19"/>
      <c r="H321" s="29"/>
    </row>
    <row r="322" spans="1:8" ht="12.75" customHeight="1">
      <c r="A322" s="32">
        <v>43269</v>
      </c>
      <c r="B322" s="32"/>
      <c r="C322" s="23">
        <f>ROUND(0.115682838585938,6)</f>
        <v>0.115683</v>
      </c>
      <c r="D322" s="23">
        <f>F322</f>
        <v>0.126848</v>
      </c>
      <c r="E322" s="23">
        <f>F322</f>
        <v>0.126848</v>
      </c>
      <c r="F322" s="23">
        <f>ROUND(0.126848,6)</f>
        <v>0.126848</v>
      </c>
      <c r="G322" s="19"/>
      <c r="H322" s="29"/>
    </row>
    <row r="323" spans="1:8" ht="12.75" customHeight="1">
      <c r="A323" s="32" t="s">
        <v>71</v>
      </c>
      <c r="B323" s="32"/>
      <c r="C323" s="18"/>
      <c r="D323" s="18"/>
      <c r="E323" s="18"/>
      <c r="F323" s="18"/>
      <c r="G323" s="19"/>
      <c r="H323" s="29"/>
    </row>
    <row r="324" spans="1:8" ht="12.75" customHeight="1">
      <c r="A324" s="32">
        <v>42905</v>
      </c>
      <c r="B324" s="32"/>
      <c r="C324" s="20">
        <f>ROUND(0.126911939051173,4)</f>
        <v>0.1269</v>
      </c>
      <c r="D324" s="20">
        <f>F324</f>
        <v>0.1268</v>
      </c>
      <c r="E324" s="20">
        <f>F324</f>
        <v>0.1268</v>
      </c>
      <c r="F324" s="20">
        <f>ROUND(0.12682243817,4)</f>
        <v>0.1268</v>
      </c>
      <c r="G324" s="19"/>
      <c r="H324" s="29"/>
    </row>
    <row r="325" spans="1:8" ht="12.75" customHeight="1">
      <c r="A325" s="32">
        <v>42996</v>
      </c>
      <c r="B325" s="32"/>
      <c r="C325" s="20">
        <f>ROUND(0.126911939051173,4)</f>
        <v>0.1269</v>
      </c>
      <c r="D325" s="20">
        <f>F325</f>
        <v>0.1257</v>
      </c>
      <c r="E325" s="20">
        <f>F325</f>
        <v>0.1257</v>
      </c>
      <c r="F325" s="20">
        <f>ROUND(0.12573923568,4)</f>
        <v>0.1257</v>
      </c>
      <c r="G325" s="19"/>
      <c r="H325" s="29"/>
    </row>
    <row r="326" spans="1:8" ht="12.75" customHeight="1">
      <c r="A326" s="32">
        <v>43087</v>
      </c>
      <c r="B326" s="32"/>
      <c r="C326" s="20">
        <f>ROUND(0.126911939051173,4)</f>
        <v>0.1269</v>
      </c>
      <c r="D326" s="20">
        <f>F326</f>
        <v>0.1255</v>
      </c>
      <c r="E326" s="20">
        <f>F326</f>
        <v>0.1255</v>
      </c>
      <c r="F326" s="20">
        <f>ROUND(0.12553901169,4)</f>
        <v>0.1255</v>
      </c>
      <c r="G326" s="19"/>
      <c r="H326" s="29"/>
    </row>
    <row r="327" spans="1:8" ht="12.75" customHeight="1">
      <c r="A327" s="32">
        <v>43178</v>
      </c>
      <c r="B327" s="32"/>
      <c r="C327" s="20">
        <f>ROUND(0.126911939051173,4)</f>
        <v>0.1269</v>
      </c>
      <c r="D327" s="20">
        <f>F327</f>
        <v>0.125</v>
      </c>
      <c r="E327" s="20">
        <f>F327</f>
        <v>0.125</v>
      </c>
      <c r="F327" s="20">
        <f>ROUND(0.12499605948,4)</f>
        <v>0.125</v>
      </c>
      <c r="G327" s="19"/>
      <c r="H327" s="29"/>
    </row>
    <row r="328" spans="1:8" ht="12.75" customHeight="1">
      <c r="A328" s="32" t="s">
        <v>72</v>
      </c>
      <c r="B328" s="32"/>
      <c r="C328" s="18"/>
      <c r="D328" s="18"/>
      <c r="E328" s="18"/>
      <c r="F328" s="18"/>
      <c r="G328" s="19"/>
      <c r="H328" s="29"/>
    </row>
    <row r="329" spans="1:8" ht="12.75" customHeight="1">
      <c r="A329" s="32">
        <v>42905</v>
      </c>
      <c r="B329" s="32"/>
      <c r="C329" s="20">
        <f>ROUND(3.50782949692461,4)</f>
        <v>3.5078</v>
      </c>
      <c r="D329" s="20">
        <f>F329</f>
        <v>3.4714</v>
      </c>
      <c r="E329" s="20">
        <f>F329</f>
        <v>3.4714</v>
      </c>
      <c r="F329" s="20">
        <f>ROUND(3.4713558337,4)</f>
        <v>3.4714</v>
      </c>
      <c r="G329" s="19"/>
      <c r="H329" s="29"/>
    </row>
    <row r="330" spans="1:8" ht="12.75" customHeight="1">
      <c r="A330" s="32">
        <v>42996</v>
      </c>
      <c r="B330" s="32"/>
      <c r="C330" s="20">
        <f>ROUND(3.50782949692461,4)</f>
        <v>3.5078</v>
      </c>
      <c r="D330" s="20">
        <f>F330</f>
        <v>3.4341</v>
      </c>
      <c r="E330" s="20">
        <f>F330</f>
        <v>3.4341</v>
      </c>
      <c r="F330" s="20">
        <f>ROUND(3.4340519486,4)</f>
        <v>3.4341</v>
      </c>
      <c r="G330" s="19"/>
      <c r="H330" s="29"/>
    </row>
    <row r="331" spans="1:8" ht="12.75" customHeight="1">
      <c r="A331" s="32">
        <v>43087</v>
      </c>
      <c r="B331" s="32"/>
      <c r="C331" s="20">
        <f>ROUND(3.50782949692461,4)</f>
        <v>3.5078</v>
      </c>
      <c r="D331" s="20">
        <f>F331</f>
        <v>3.4011</v>
      </c>
      <c r="E331" s="20">
        <f>F331</f>
        <v>3.4011</v>
      </c>
      <c r="F331" s="20">
        <f>ROUND(3.4011199968,4)</f>
        <v>3.4011</v>
      </c>
      <c r="G331" s="19"/>
      <c r="H331" s="29"/>
    </row>
    <row r="332" spans="1:8" ht="12.75" customHeight="1">
      <c r="A332" s="32" t="s">
        <v>73</v>
      </c>
      <c r="B332" s="32"/>
      <c r="C332" s="18"/>
      <c r="D332" s="18"/>
      <c r="E332" s="18"/>
      <c r="F332" s="18"/>
      <c r="G332" s="19"/>
      <c r="H332" s="29"/>
    </row>
    <row r="333" spans="1:8" ht="12.75" customHeight="1">
      <c r="A333" s="32">
        <v>42905</v>
      </c>
      <c r="B333" s="32"/>
      <c r="C333" s="20">
        <f>ROUND(13.06,4)</f>
        <v>13.06</v>
      </c>
      <c r="D333" s="20">
        <f>F333</f>
        <v>13.2694</v>
      </c>
      <c r="E333" s="20">
        <f>F333</f>
        <v>13.2694</v>
      </c>
      <c r="F333" s="20">
        <f>ROUND(13.2694,4)</f>
        <v>13.2694</v>
      </c>
      <c r="G333" s="19"/>
      <c r="H333" s="29"/>
    </row>
    <row r="334" spans="1:8" ht="12.75" customHeight="1">
      <c r="A334" s="32">
        <v>42996</v>
      </c>
      <c r="B334" s="32"/>
      <c r="C334" s="20">
        <f>ROUND(13.06,4)</f>
        <v>13.06</v>
      </c>
      <c r="D334" s="20">
        <f>F334</f>
        <v>13.4746</v>
      </c>
      <c r="E334" s="20">
        <f>F334</f>
        <v>13.4746</v>
      </c>
      <c r="F334" s="20">
        <f>ROUND(13.4746,4)</f>
        <v>13.4746</v>
      </c>
      <c r="G334" s="19"/>
      <c r="H334" s="29"/>
    </row>
    <row r="335" spans="1:8" ht="12.75" customHeight="1">
      <c r="A335" s="32">
        <v>43087</v>
      </c>
      <c r="B335" s="32"/>
      <c r="C335" s="20">
        <f>ROUND(13.06,4)</f>
        <v>13.06</v>
      </c>
      <c r="D335" s="20">
        <f>F335</f>
        <v>13.6774</v>
      </c>
      <c r="E335" s="20">
        <f>F335</f>
        <v>13.6774</v>
      </c>
      <c r="F335" s="20">
        <f>ROUND(13.6774,4)</f>
        <v>13.6774</v>
      </c>
      <c r="G335" s="19"/>
      <c r="H335" s="29"/>
    </row>
    <row r="336" spans="1:8" ht="12.75" customHeight="1">
      <c r="A336" s="32">
        <v>43178</v>
      </c>
      <c r="B336" s="32"/>
      <c r="C336" s="20">
        <f>ROUND(13.06,4)</f>
        <v>13.06</v>
      </c>
      <c r="D336" s="20">
        <f>F336</f>
        <v>13.8778</v>
      </c>
      <c r="E336" s="20">
        <f>F336</f>
        <v>13.8778</v>
      </c>
      <c r="F336" s="20">
        <f>ROUND(13.8778,4)</f>
        <v>13.8778</v>
      </c>
      <c r="G336" s="19"/>
      <c r="H336" s="29"/>
    </row>
    <row r="337" spans="1:8" ht="12.75" customHeight="1">
      <c r="A337" s="32">
        <v>43269</v>
      </c>
      <c r="B337" s="32"/>
      <c r="C337" s="20">
        <f>ROUND(13.06,4)</f>
        <v>13.06</v>
      </c>
      <c r="D337" s="20">
        <f>F337</f>
        <v>14.1724</v>
      </c>
      <c r="E337" s="20">
        <f>F337</f>
        <v>14.1724</v>
      </c>
      <c r="F337" s="20">
        <f>ROUND(14.1724,4)</f>
        <v>14.1724</v>
      </c>
      <c r="G337" s="19"/>
      <c r="H337" s="29"/>
    </row>
    <row r="338" spans="1:8" ht="12.75" customHeight="1">
      <c r="A338" s="32" t="s">
        <v>74</v>
      </c>
      <c r="B338" s="32"/>
      <c r="C338" s="18"/>
      <c r="D338" s="18"/>
      <c r="E338" s="18"/>
      <c r="F338" s="18"/>
      <c r="G338" s="19"/>
      <c r="H338" s="29"/>
    </row>
    <row r="339" spans="1:8" ht="12.75" customHeight="1">
      <c r="A339" s="32">
        <v>42905</v>
      </c>
      <c r="B339" s="32"/>
      <c r="C339" s="20">
        <f aca="true" t="shared" si="15" ref="C339:C348">ROUND(13.06,4)</f>
        <v>13.06</v>
      </c>
      <c r="D339" s="20">
        <f aca="true" t="shared" si="16" ref="D339:D348">F339</f>
        <v>13.2694</v>
      </c>
      <c r="E339" s="20">
        <f aca="true" t="shared" si="17" ref="E339:E348">F339</f>
        <v>13.2694</v>
      </c>
      <c r="F339" s="20">
        <f>ROUND(13.2694,4)</f>
        <v>13.2694</v>
      </c>
      <c r="G339" s="19"/>
      <c r="H339" s="29"/>
    </row>
    <row r="340" spans="1:8" ht="12.75" customHeight="1">
      <c r="A340" s="32">
        <v>42996</v>
      </c>
      <c r="B340" s="32"/>
      <c r="C340" s="20">
        <f t="shared" si="15"/>
        <v>13.06</v>
      </c>
      <c r="D340" s="20">
        <f t="shared" si="16"/>
        <v>13.4746</v>
      </c>
      <c r="E340" s="20">
        <f t="shared" si="17"/>
        <v>13.4746</v>
      </c>
      <c r="F340" s="20">
        <f>ROUND(13.4746,4)</f>
        <v>13.4746</v>
      </c>
      <c r="G340" s="19"/>
      <c r="H340" s="29"/>
    </row>
    <row r="341" spans="1:8" ht="12.75" customHeight="1">
      <c r="A341" s="32">
        <v>43087</v>
      </c>
      <c r="B341" s="32"/>
      <c r="C341" s="20">
        <f t="shared" si="15"/>
        <v>13.06</v>
      </c>
      <c r="D341" s="20">
        <f t="shared" si="16"/>
        <v>13.6774</v>
      </c>
      <c r="E341" s="20">
        <f t="shared" si="17"/>
        <v>13.6774</v>
      </c>
      <c r="F341" s="20">
        <f>ROUND(13.6774,4)</f>
        <v>13.6774</v>
      </c>
      <c r="G341" s="19"/>
      <c r="H341" s="29"/>
    </row>
    <row r="342" spans="1:8" ht="12.75" customHeight="1">
      <c r="A342" s="32">
        <v>43178</v>
      </c>
      <c r="B342" s="32"/>
      <c r="C342" s="20">
        <f t="shared" si="15"/>
        <v>13.06</v>
      </c>
      <c r="D342" s="20">
        <f t="shared" si="16"/>
        <v>13.8778</v>
      </c>
      <c r="E342" s="20">
        <f t="shared" si="17"/>
        <v>13.8778</v>
      </c>
      <c r="F342" s="20">
        <f>ROUND(13.8778,4)</f>
        <v>13.8778</v>
      </c>
      <c r="G342" s="19"/>
      <c r="H342" s="29"/>
    </row>
    <row r="343" spans="1:8" ht="12.75" customHeight="1">
      <c r="A343" s="32">
        <v>43269</v>
      </c>
      <c r="B343" s="32"/>
      <c r="C343" s="20">
        <f t="shared" si="15"/>
        <v>13.06</v>
      </c>
      <c r="D343" s="20">
        <f t="shared" si="16"/>
        <v>14.1724</v>
      </c>
      <c r="E343" s="20">
        <f t="shared" si="17"/>
        <v>14.1724</v>
      </c>
      <c r="F343" s="20">
        <f>ROUND(14.1724,4)</f>
        <v>14.1724</v>
      </c>
      <c r="G343" s="19"/>
      <c r="H343" s="29"/>
    </row>
    <row r="344" spans="1:8" ht="12.75" customHeight="1">
      <c r="A344" s="32">
        <v>43360</v>
      </c>
      <c r="B344" s="32"/>
      <c r="C344" s="20">
        <f t="shared" si="15"/>
        <v>13.06</v>
      </c>
      <c r="D344" s="20">
        <f t="shared" si="16"/>
        <v>14.4669</v>
      </c>
      <c r="E344" s="20">
        <f t="shared" si="17"/>
        <v>14.4669</v>
      </c>
      <c r="F344" s="20">
        <f>ROUND(14.4669,4)</f>
        <v>14.4669</v>
      </c>
      <c r="G344" s="19"/>
      <c r="H344" s="29"/>
    </row>
    <row r="345" spans="1:8" ht="12.75" customHeight="1">
      <c r="A345" s="32">
        <v>43448</v>
      </c>
      <c r="B345" s="32"/>
      <c r="C345" s="20">
        <f t="shared" si="15"/>
        <v>13.06</v>
      </c>
      <c r="D345" s="20">
        <f t="shared" si="16"/>
        <v>14.7518</v>
      </c>
      <c r="E345" s="20">
        <f t="shared" si="17"/>
        <v>14.7518</v>
      </c>
      <c r="F345" s="20">
        <f>ROUND(14.7518,4)</f>
        <v>14.7518</v>
      </c>
      <c r="G345" s="19"/>
      <c r="H345" s="29"/>
    </row>
    <row r="346" spans="1:8" ht="12.75" customHeight="1">
      <c r="A346" s="32">
        <v>43542</v>
      </c>
      <c r="B346" s="32"/>
      <c r="C346" s="20">
        <f t="shared" si="15"/>
        <v>13.06</v>
      </c>
      <c r="D346" s="20">
        <f t="shared" si="16"/>
        <v>15.0561</v>
      </c>
      <c r="E346" s="20">
        <f t="shared" si="17"/>
        <v>15.0561</v>
      </c>
      <c r="F346" s="20">
        <f>ROUND(15.0561,4)</f>
        <v>15.0561</v>
      </c>
      <c r="G346" s="19"/>
      <c r="H346" s="29"/>
    </row>
    <row r="347" spans="1:8" ht="12.75" customHeight="1">
      <c r="A347" s="32">
        <v>43630</v>
      </c>
      <c r="B347" s="32"/>
      <c r="C347" s="20">
        <f t="shared" si="15"/>
        <v>13.06</v>
      </c>
      <c r="D347" s="20">
        <f t="shared" si="16"/>
        <v>15.341</v>
      </c>
      <c r="E347" s="20">
        <f t="shared" si="17"/>
        <v>15.341</v>
      </c>
      <c r="F347" s="20">
        <f>ROUND(15.341,4)</f>
        <v>15.341</v>
      </c>
      <c r="G347" s="19"/>
      <c r="H347" s="29"/>
    </row>
    <row r="348" spans="1:8" ht="12.75" customHeight="1">
      <c r="A348" s="32">
        <v>43724</v>
      </c>
      <c r="B348" s="32"/>
      <c r="C348" s="20">
        <f t="shared" si="15"/>
        <v>13.06</v>
      </c>
      <c r="D348" s="20">
        <f t="shared" si="16"/>
        <v>15.6453</v>
      </c>
      <c r="E348" s="20">
        <f t="shared" si="17"/>
        <v>15.6453</v>
      </c>
      <c r="F348" s="20">
        <f>ROUND(15.6453,4)</f>
        <v>15.6453</v>
      </c>
      <c r="G348" s="19"/>
      <c r="H348" s="29"/>
    </row>
    <row r="349" spans="1:8" ht="12.75" customHeight="1">
      <c r="A349" s="32" t="s">
        <v>75</v>
      </c>
      <c r="B349" s="32"/>
      <c r="C349" s="18"/>
      <c r="D349" s="18"/>
      <c r="E349" s="18"/>
      <c r="F349" s="18"/>
      <c r="G349" s="19"/>
      <c r="H349" s="29"/>
    </row>
    <row r="350" spans="1:8" ht="12.75" customHeight="1">
      <c r="A350" s="32">
        <v>42905</v>
      </c>
      <c r="B350" s="32"/>
      <c r="C350" s="20">
        <f>ROUND(1.36098374322634,4)</f>
        <v>1.361</v>
      </c>
      <c r="D350" s="20">
        <f>F350</f>
        <v>1.337</v>
      </c>
      <c r="E350" s="20">
        <f>F350</f>
        <v>1.337</v>
      </c>
      <c r="F350" s="20">
        <f>ROUND(1.337018445,4)</f>
        <v>1.337</v>
      </c>
      <c r="G350" s="19"/>
      <c r="H350" s="29"/>
    </row>
    <row r="351" spans="1:8" ht="12.75" customHeight="1">
      <c r="A351" s="32">
        <v>42996</v>
      </c>
      <c r="B351" s="32"/>
      <c r="C351" s="20">
        <f>ROUND(1.36098374322634,4)</f>
        <v>1.361</v>
      </c>
      <c r="D351" s="20">
        <f>F351</f>
        <v>1.3283</v>
      </c>
      <c r="E351" s="20">
        <f>F351</f>
        <v>1.3283</v>
      </c>
      <c r="F351" s="20">
        <f>ROUND(1.3283221979,4)</f>
        <v>1.3283</v>
      </c>
      <c r="G351" s="19"/>
      <c r="H351" s="29"/>
    </row>
    <row r="352" spans="1:8" ht="12.75" customHeight="1">
      <c r="A352" s="32">
        <v>43087</v>
      </c>
      <c r="B352" s="32"/>
      <c r="C352" s="20">
        <f>ROUND(1.36098374322634,4)</f>
        <v>1.361</v>
      </c>
      <c r="D352" s="20">
        <f>F352</f>
        <v>1.2981</v>
      </c>
      <c r="E352" s="20">
        <f>F352</f>
        <v>1.2981</v>
      </c>
      <c r="F352" s="20">
        <f>ROUND(1.2980884671,4)</f>
        <v>1.2981</v>
      </c>
      <c r="G352" s="19"/>
      <c r="H352" s="29"/>
    </row>
    <row r="353" spans="1:8" ht="12.75" customHeight="1">
      <c r="A353" s="32">
        <v>43178</v>
      </c>
      <c r="B353" s="32"/>
      <c r="C353" s="20">
        <f>ROUND(1.36098374322634,4)</f>
        <v>1.361</v>
      </c>
      <c r="D353" s="20">
        <f>F353</f>
        <v>1.2757</v>
      </c>
      <c r="E353" s="20">
        <f>F353</f>
        <v>1.2757</v>
      </c>
      <c r="F353" s="20">
        <f>ROUND(1.2757206942,4)</f>
        <v>1.2757</v>
      </c>
      <c r="G353" s="19"/>
      <c r="H353" s="29"/>
    </row>
    <row r="354" spans="1:8" ht="12.75" customHeight="1">
      <c r="A354" s="32" t="s">
        <v>76</v>
      </c>
      <c r="B354" s="32"/>
      <c r="C354" s="18"/>
      <c r="D354" s="18"/>
      <c r="E354" s="18"/>
      <c r="F354" s="18"/>
      <c r="G354" s="19"/>
      <c r="H354" s="29"/>
    </row>
    <row r="355" spans="1:8" ht="12.75" customHeight="1">
      <c r="A355" s="32">
        <v>42859</v>
      </c>
      <c r="B355" s="32"/>
      <c r="C355" s="21">
        <f>ROUND(603.856,3)</f>
        <v>603.856</v>
      </c>
      <c r="D355" s="21">
        <f>F355</f>
        <v>610.068</v>
      </c>
      <c r="E355" s="21">
        <f>F355</f>
        <v>610.068</v>
      </c>
      <c r="F355" s="21">
        <f>ROUND(610.068,3)</f>
        <v>610.068</v>
      </c>
      <c r="G355" s="19"/>
      <c r="H355" s="29"/>
    </row>
    <row r="356" spans="1:8" ht="12.75" customHeight="1">
      <c r="A356" s="32">
        <v>42950</v>
      </c>
      <c r="B356" s="32"/>
      <c r="C356" s="21">
        <f>ROUND(603.856,3)</f>
        <v>603.856</v>
      </c>
      <c r="D356" s="21">
        <f>F356</f>
        <v>621.736</v>
      </c>
      <c r="E356" s="21">
        <f>F356</f>
        <v>621.736</v>
      </c>
      <c r="F356" s="21">
        <f>ROUND(621.736,3)</f>
        <v>621.736</v>
      </c>
      <c r="G356" s="19"/>
      <c r="H356" s="29"/>
    </row>
    <row r="357" spans="1:8" ht="12.75" customHeight="1">
      <c r="A357" s="32">
        <v>43041</v>
      </c>
      <c r="B357" s="32"/>
      <c r="C357" s="21">
        <f>ROUND(603.856,3)</f>
        <v>603.856</v>
      </c>
      <c r="D357" s="21">
        <f>F357</f>
        <v>633.972</v>
      </c>
      <c r="E357" s="21">
        <f>F357</f>
        <v>633.972</v>
      </c>
      <c r="F357" s="21">
        <f>ROUND(633.972,3)</f>
        <v>633.972</v>
      </c>
      <c r="G357" s="19"/>
      <c r="H357" s="29"/>
    </row>
    <row r="358" spans="1:8" ht="12.75" customHeight="1">
      <c r="A358" s="32">
        <v>43132</v>
      </c>
      <c r="B358" s="32"/>
      <c r="C358" s="21">
        <f>ROUND(603.856,3)</f>
        <v>603.856</v>
      </c>
      <c r="D358" s="21">
        <f>F358</f>
        <v>646.614</v>
      </c>
      <c r="E358" s="21">
        <f>F358</f>
        <v>646.614</v>
      </c>
      <c r="F358" s="21">
        <f>ROUND(646.614,3)</f>
        <v>646.614</v>
      </c>
      <c r="G358" s="19"/>
      <c r="H358" s="29"/>
    </row>
    <row r="359" spans="1:8" ht="12.75" customHeight="1">
      <c r="A359" s="32" t="s">
        <v>77</v>
      </c>
      <c r="B359" s="32"/>
      <c r="C359" s="18"/>
      <c r="D359" s="18"/>
      <c r="E359" s="18"/>
      <c r="F359" s="18"/>
      <c r="G359" s="19"/>
      <c r="H359" s="29"/>
    </row>
    <row r="360" spans="1:8" ht="12.75" customHeight="1">
      <c r="A360" s="32">
        <v>42859</v>
      </c>
      <c r="B360" s="32"/>
      <c r="C360" s="21">
        <f>ROUND(524.435,3)</f>
        <v>524.435</v>
      </c>
      <c r="D360" s="21">
        <f>F360</f>
        <v>529.83</v>
      </c>
      <c r="E360" s="21">
        <f>F360</f>
        <v>529.83</v>
      </c>
      <c r="F360" s="21">
        <f>ROUND(529.83,3)</f>
        <v>529.83</v>
      </c>
      <c r="G360" s="19"/>
      <c r="H360" s="29"/>
    </row>
    <row r="361" spans="1:8" ht="12.75" customHeight="1">
      <c r="A361" s="32">
        <v>42950</v>
      </c>
      <c r="B361" s="32"/>
      <c r="C361" s="21">
        <f>ROUND(524.435,3)</f>
        <v>524.435</v>
      </c>
      <c r="D361" s="21">
        <f>F361</f>
        <v>539.964</v>
      </c>
      <c r="E361" s="21">
        <f>F361</f>
        <v>539.964</v>
      </c>
      <c r="F361" s="21">
        <f>ROUND(539.964,3)</f>
        <v>539.964</v>
      </c>
      <c r="G361" s="19"/>
      <c r="H361" s="29"/>
    </row>
    <row r="362" spans="1:8" ht="12.75" customHeight="1">
      <c r="A362" s="32">
        <v>43041</v>
      </c>
      <c r="B362" s="32"/>
      <c r="C362" s="21">
        <f>ROUND(524.435,3)</f>
        <v>524.435</v>
      </c>
      <c r="D362" s="21">
        <f>F362</f>
        <v>550.59</v>
      </c>
      <c r="E362" s="21">
        <f>F362</f>
        <v>550.59</v>
      </c>
      <c r="F362" s="21">
        <f>ROUND(550.59,3)</f>
        <v>550.59</v>
      </c>
      <c r="G362" s="19"/>
      <c r="H362" s="29"/>
    </row>
    <row r="363" spans="1:8" ht="12.75" customHeight="1">
      <c r="A363" s="32">
        <v>43132</v>
      </c>
      <c r="B363" s="32"/>
      <c r="C363" s="21">
        <f>ROUND(524.435,3)</f>
        <v>524.435</v>
      </c>
      <c r="D363" s="21">
        <f>F363</f>
        <v>561.569</v>
      </c>
      <c r="E363" s="21">
        <f>F363</f>
        <v>561.569</v>
      </c>
      <c r="F363" s="21">
        <f>ROUND(561.569,3)</f>
        <v>561.569</v>
      </c>
      <c r="G363" s="19"/>
      <c r="H363" s="29"/>
    </row>
    <row r="364" spans="1:8" ht="12.75" customHeight="1">
      <c r="A364" s="32" t="s">
        <v>78</v>
      </c>
      <c r="B364" s="32"/>
      <c r="C364" s="18"/>
      <c r="D364" s="18"/>
      <c r="E364" s="18"/>
      <c r="F364" s="18"/>
      <c r="G364" s="19"/>
      <c r="H364" s="29"/>
    </row>
    <row r="365" spans="1:8" ht="12.75" customHeight="1">
      <c r="A365" s="32">
        <v>42859</v>
      </c>
      <c r="B365" s="32"/>
      <c r="C365" s="21">
        <f>ROUND(606.101,3)</f>
        <v>606.101</v>
      </c>
      <c r="D365" s="21">
        <f>F365</f>
        <v>612.336</v>
      </c>
      <c r="E365" s="21">
        <f>F365</f>
        <v>612.336</v>
      </c>
      <c r="F365" s="21">
        <f>ROUND(612.336,3)</f>
        <v>612.336</v>
      </c>
      <c r="G365" s="19"/>
      <c r="H365" s="29"/>
    </row>
    <row r="366" spans="1:8" ht="12.75" customHeight="1">
      <c r="A366" s="32">
        <v>42950</v>
      </c>
      <c r="B366" s="32"/>
      <c r="C366" s="21">
        <f>ROUND(606.101,3)</f>
        <v>606.101</v>
      </c>
      <c r="D366" s="21">
        <f>F366</f>
        <v>624.048</v>
      </c>
      <c r="E366" s="21">
        <f>F366</f>
        <v>624.048</v>
      </c>
      <c r="F366" s="21">
        <f>ROUND(624.048,3)</f>
        <v>624.048</v>
      </c>
      <c r="G366" s="19"/>
      <c r="H366" s="29"/>
    </row>
    <row r="367" spans="1:8" ht="12.75" customHeight="1">
      <c r="A367" s="32">
        <v>43041</v>
      </c>
      <c r="B367" s="32"/>
      <c r="C367" s="21">
        <f>ROUND(606.101,3)</f>
        <v>606.101</v>
      </c>
      <c r="D367" s="21">
        <f>F367</f>
        <v>636.329</v>
      </c>
      <c r="E367" s="21">
        <f>F367</f>
        <v>636.329</v>
      </c>
      <c r="F367" s="21">
        <f>ROUND(636.329,3)</f>
        <v>636.329</v>
      </c>
      <c r="G367" s="19"/>
      <c r="H367" s="29"/>
    </row>
    <row r="368" spans="1:8" ht="12.75" customHeight="1">
      <c r="A368" s="32">
        <v>43132</v>
      </c>
      <c r="B368" s="32"/>
      <c r="C368" s="21">
        <f>ROUND(606.101,3)</f>
        <v>606.101</v>
      </c>
      <c r="D368" s="21">
        <f>F368</f>
        <v>649.018</v>
      </c>
      <c r="E368" s="21">
        <f>F368</f>
        <v>649.018</v>
      </c>
      <c r="F368" s="21">
        <f>ROUND(649.018,3)</f>
        <v>649.018</v>
      </c>
      <c r="G368" s="19"/>
      <c r="H368" s="29"/>
    </row>
    <row r="369" spans="1:8" ht="12.75" customHeight="1">
      <c r="A369" s="32" t="s">
        <v>79</v>
      </c>
      <c r="B369" s="32"/>
      <c r="C369" s="18"/>
      <c r="D369" s="18"/>
      <c r="E369" s="18"/>
      <c r="F369" s="18"/>
      <c r="G369" s="19"/>
      <c r="H369" s="29"/>
    </row>
    <row r="370" spans="1:8" ht="12.75" customHeight="1">
      <c r="A370" s="32">
        <v>42859</v>
      </c>
      <c r="B370" s="32"/>
      <c r="C370" s="21">
        <f>ROUND(551.639,3)</f>
        <v>551.639</v>
      </c>
      <c r="D370" s="21">
        <f>F370</f>
        <v>557.314</v>
      </c>
      <c r="E370" s="21">
        <f>F370</f>
        <v>557.314</v>
      </c>
      <c r="F370" s="21">
        <f>ROUND(557.314,3)</f>
        <v>557.314</v>
      </c>
      <c r="G370" s="19"/>
      <c r="H370" s="29"/>
    </row>
    <row r="371" spans="1:8" ht="12.75" customHeight="1">
      <c r="A371" s="32">
        <v>42950</v>
      </c>
      <c r="B371" s="32"/>
      <c r="C371" s="21">
        <f>ROUND(551.639,3)</f>
        <v>551.639</v>
      </c>
      <c r="D371" s="21">
        <f>F371</f>
        <v>567.973</v>
      </c>
      <c r="E371" s="21">
        <f>F371</f>
        <v>567.973</v>
      </c>
      <c r="F371" s="21">
        <f>ROUND(567.973,3)</f>
        <v>567.973</v>
      </c>
      <c r="G371" s="19"/>
      <c r="H371" s="29"/>
    </row>
    <row r="372" spans="1:8" ht="12.75" customHeight="1">
      <c r="A372" s="32">
        <v>43041</v>
      </c>
      <c r="B372" s="32"/>
      <c r="C372" s="21">
        <f>ROUND(551.639,3)</f>
        <v>551.639</v>
      </c>
      <c r="D372" s="21">
        <f>F372</f>
        <v>579.151</v>
      </c>
      <c r="E372" s="21">
        <f>F372</f>
        <v>579.151</v>
      </c>
      <c r="F372" s="21">
        <f>ROUND(579.151,3)</f>
        <v>579.151</v>
      </c>
      <c r="G372" s="19"/>
      <c r="H372" s="29"/>
    </row>
    <row r="373" spans="1:8" ht="12.75" customHeight="1">
      <c r="A373" s="32">
        <v>43132</v>
      </c>
      <c r="B373" s="32"/>
      <c r="C373" s="21">
        <f>ROUND(551.639,3)</f>
        <v>551.639</v>
      </c>
      <c r="D373" s="21">
        <f>F373</f>
        <v>590.699</v>
      </c>
      <c r="E373" s="21">
        <f>F373</f>
        <v>590.699</v>
      </c>
      <c r="F373" s="21">
        <f>ROUND(590.699,3)</f>
        <v>590.699</v>
      </c>
      <c r="G373" s="19"/>
      <c r="H373" s="29"/>
    </row>
    <row r="374" spans="1:8" ht="12.75" customHeight="1">
      <c r="A374" s="32" t="s">
        <v>80</v>
      </c>
      <c r="B374" s="32"/>
      <c r="C374" s="18"/>
      <c r="D374" s="18"/>
      <c r="E374" s="18"/>
      <c r="F374" s="18"/>
      <c r="G374" s="19"/>
      <c r="H374" s="29"/>
    </row>
    <row r="375" spans="1:8" ht="12.75" customHeight="1">
      <c r="A375" s="32">
        <v>42859</v>
      </c>
      <c r="B375" s="32"/>
      <c r="C375" s="21">
        <f>ROUND(249.373290728805,3)</f>
        <v>249.373</v>
      </c>
      <c r="D375" s="21">
        <f>F375</f>
        <v>251.97</v>
      </c>
      <c r="E375" s="21">
        <f>F375</f>
        <v>251.97</v>
      </c>
      <c r="F375" s="21">
        <f>ROUND(251.97,3)</f>
        <v>251.97</v>
      </c>
      <c r="G375" s="19"/>
      <c r="H375" s="29"/>
    </row>
    <row r="376" spans="1:8" ht="12.75" customHeight="1">
      <c r="A376" s="32">
        <v>42950</v>
      </c>
      <c r="B376" s="32"/>
      <c r="C376" s="21">
        <f>ROUND(249.373290728805,3)</f>
        <v>249.373</v>
      </c>
      <c r="D376" s="21">
        <f>F376</f>
        <v>256.837</v>
      </c>
      <c r="E376" s="21">
        <f>F376</f>
        <v>256.837</v>
      </c>
      <c r="F376" s="21">
        <f>ROUND(256.837,3)</f>
        <v>256.837</v>
      </c>
      <c r="G376" s="19"/>
      <c r="H376" s="29"/>
    </row>
    <row r="377" spans="1:8" ht="12.75" customHeight="1">
      <c r="A377" s="32">
        <v>43041</v>
      </c>
      <c r="B377" s="32"/>
      <c r="C377" s="21">
        <f>ROUND(249.373290728805,3)</f>
        <v>249.373</v>
      </c>
      <c r="D377" s="21">
        <f>F377</f>
        <v>261.949</v>
      </c>
      <c r="E377" s="21">
        <f>F377</f>
        <v>261.949</v>
      </c>
      <c r="F377" s="21">
        <f>ROUND(261.949,3)</f>
        <v>261.949</v>
      </c>
      <c r="G377" s="19"/>
      <c r="H377" s="29"/>
    </row>
    <row r="378" spans="1:8" ht="12.75" customHeight="1">
      <c r="A378" s="32">
        <v>43132</v>
      </c>
      <c r="B378" s="32"/>
      <c r="C378" s="21">
        <f>ROUND(249.373290728805,3)</f>
        <v>249.373</v>
      </c>
      <c r="D378" s="21">
        <f>F378</f>
        <v>267.257</v>
      </c>
      <c r="E378" s="21">
        <f>F378</f>
        <v>267.257</v>
      </c>
      <c r="F378" s="21">
        <f>ROUND(267.257,3)</f>
        <v>267.257</v>
      </c>
      <c r="G378" s="19"/>
      <c r="H378" s="29"/>
    </row>
    <row r="379" spans="1:8" ht="12.75" customHeight="1">
      <c r="A379" s="32" t="s">
        <v>81</v>
      </c>
      <c r="B379" s="32"/>
      <c r="C379" s="18"/>
      <c r="D379" s="18"/>
      <c r="E379" s="18"/>
      <c r="F379" s="18"/>
      <c r="G379" s="19"/>
      <c r="H379" s="29"/>
    </row>
    <row r="380" spans="1:8" ht="12.75" customHeight="1">
      <c r="A380" s="32">
        <v>42859</v>
      </c>
      <c r="B380" s="32"/>
      <c r="C380" s="21">
        <f>ROUND(675.731,3)</f>
        <v>675.731</v>
      </c>
      <c r="D380" s="21">
        <f>F380</f>
        <v>682.718</v>
      </c>
      <c r="E380" s="21">
        <f>F380</f>
        <v>682.718</v>
      </c>
      <c r="F380" s="21">
        <f>ROUND(682.718,3)</f>
        <v>682.718</v>
      </c>
      <c r="G380" s="19"/>
      <c r="H380" s="29"/>
    </row>
    <row r="381" spans="1:8" ht="12.75" customHeight="1">
      <c r="A381" s="32">
        <v>42950</v>
      </c>
      <c r="B381" s="32"/>
      <c r="C381" s="21">
        <f>ROUND(675.731,3)</f>
        <v>675.731</v>
      </c>
      <c r="D381" s="21">
        <f>F381</f>
        <v>695.694</v>
      </c>
      <c r="E381" s="21">
        <f>F381</f>
        <v>695.694</v>
      </c>
      <c r="F381" s="21">
        <f>ROUND(695.694,3)</f>
        <v>695.694</v>
      </c>
      <c r="G381" s="19"/>
      <c r="H381" s="29"/>
    </row>
    <row r="382" spans="1:8" ht="12.75" customHeight="1">
      <c r="A382" s="32">
        <v>43041</v>
      </c>
      <c r="B382" s="32"/>
      <c r="C382" s="21">
        <f>ROUND(675.731,3)</f>
        <v>675.731</v>
      </c>
      <c r="D382" s="21">
        <f>F382</f>
        <v>709.665</v>
      </c>
      <c r="E382" s="21">
        <f>F382</f>
        <v>709.665</v>
      </c>
      <c r="F382" s="21">
        <f>ROUND(709.665,3)</f>
        <v>709.665</v>
      </c>
      <c r="G382" s="19"/>
      <c r="H382" s="29"/>
    </row>
    <row r="383" spans="1:8" ht="12.75" customHeight="1">
      <c r="A383" s="32">
        <v>43132</v>
      </c>
      <c r="B383" s="32"/>
      <c r="C383" s="21">
        <f>ROUND(675.731,3)</f>
        <v>675.731</v>
      </c>
      <c r="D383" s="21">
        <f>F383</f>
        <v>724.173</v>
      </c>
      <c r="E383" s="21">
        <f>F383</f>
        <v>724.173</v>
      </c>
      <c r="F383" s="21">
        <f>ROUND(724.173,3)</f>
        <v>724.173</v>
      </c>
      <c r="G383" s="19"/>
      <c r="H383" s="29"/>
    </row>
    <row r="384" spans="1:8" ht="12.75" customHeight="1">
      <c r="A384" s="32" t="s">
        <v>82</v>
      </c>
      <c r="B384" s="32"/>
      <c r="C384" s="18"/>
      <c r="D384" s="18"/>
      <c r="E384" s="18"/>
      <c r="F384" s="18"/>
      <c r="G384" s="19"/>
      <c r="H384" s="29"/>
    </row>
    <row r="385" spans="1:8" ht="12.75" customHeight="1">
      <c r="A385" s="32">
        <v>42859</v>
      </c>
      <c r="B385" s="32"/>
      <c r="C385" s="21">
        <f>ROUND(549.424,3)</f>
        <v>549.424</v>
      </c>
      <c r="D385" s="21">
        <f>F385</f>
        <v>555.076</v>
      </c>
      <c r="E385" s="21">
        <f>F385</f>
        <v>555.076</v>
      </c>
      <c r="F385" s="21">
        <f>ROUND(555.076,3)</f>
        <v>555.076</v>
      </c>
      <c r="G385" s="19"/>
      <c r="H385" s="29"/>
    </row>
    <row r="386" spans="1:8" ht="12.75" customHeight="1">
      <c r="A386" s="32">
        <v>42950</v>
      </c>
      <c r="B386" s="32"/>
      <c r="C386" s="21">
        <f>ROUND(549.424,3)</f>
        <v>549.424</v>
      </c>
      <c r="D386" s="21">
        <f>F386</f>
        <v>565.692</v>
      </c>
      <c r="E386" s="21">
        <f>F386</f>
        <v>565.692</v>
      </c>
      <c r="F386" s="21">
        <f>ROUND(565.692,3)</f>
        <v>565.692</v>
      </c>
      <c r="G386" s="19"/>
      <c r="H386" s="29"/>
    </row>
    <row r="387" spans="1:8" ht="12.75" customHeight="1">
      <c r="A387" s="32">
        <v>43041</v>
      </c>
      <c r="B387" s="32"/>
      <c r="C387" s="21">
        <f>ROUND(549.424,3)</f>
        <v>549.424</v>
      </c>
      <c r="D387" s="21">
        <f>F387</f>
        <v>576.826</v>
      </c>
      <c r="E387" s="21">
        <f>F387</f>
        <v>576.826</v>
      </c>
      <c r="F387" s="21">
        <f>ROUND(576.826,3)</f>
        <v>576.826</v>
      </c>
      <c r="G387" s="19"/>
      <c r="H387" s="29"/>
    </row>
    <row r="388" spans="1:8" ht="12.75" customHeight="1" thickBot="1">
      <c r="A388" s="31">
        <v>43132</v>
      </c>
      <c r="B388" s="31"/>
      <c r="C388" s="26">
        <f>ROUND(549.424,3)</f>
        <v>549.424</v>
      </c>
      <c r="D388" s="26">
        <f>F388</f>
        <v>588.328</v>
      </c>
      <c r="E388" s="26">
        <f>F388</f>
        <v>588.328</v>
      </c>
      <c r="F388" s="26">
        <f>ROUND(588.328,3)</f>
        <v>588.328</v>
      </c>
      <c r="G388" s="27"/>
      <c r="H388" s="30"/>
    </row>
  </sheetData>
  <sheetProtection/>
  <mergeCells count="387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8:B388"/>
    <mergeCell ref="A382:B382"/>
    <mergeCell ref="A383:B383"/>
    <mergeCell ref="A384:B384"/>
    <mergeCell ref="A385:B385"/>
    <mergeCell ref="A386:B386"/>
    <mergeCell ref="A387:B38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2017-03-15T13:52:46Z</dcterms:modified>
  <cp:category/>
  <cp:version/>
  <cp:contentType/>
  <cp:contentStatus/>
</cp:coreProperties>
</file>