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'Jerry'!$A$1:$H$538</definedName>
  </definedNames>
  <calcPr fullCalcOnLoad="1"/>
</workbook>
</file>

<file path=xl/sharedStrings.xml><?xml version="1.0" encoding="utf-8"?>
<sst xmlns="http://schemas.openxmlformats.org/spreadsheetml/2006/main" count="120" uniqueCount="120">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</sst>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43014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ROUND(2.37,5)</f>
        <v>2.37</v>
      </c>
      <c r="D6" s="26">
        <f>F6</f>
        <v>2.37</v>
      </c>
      <c r="E6" s="26">
        <f>F6</f>
        <v>2.37</v>
      </c>
      <c r="F6" s="26">
        <f>ROUND(2.37,5)</f>
        <v>2.37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ROUND(2.49,5)</f>
        <v>2.49</v>
      </c>
      <c r="D8" s="26">
        <f>F8</f>
        <v>2.49</v>
      </c>
      <c r="E8" s="26">
        <f>F8</f>
        <v>2.49</v>
      </c>
      <c r="F8" s="26">
        <f>ROUND(2.49,5)</f>
        <v>2.49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ROUND(2.58,5)</f>
        <v>2.58</v>
      </c>
      <c r="D10" s="26">
        <f>F10</f>
        <v>2.58</v>
      </c>
      <c r="E10" s="26">
        <f>F10</f>
        <v>2.58</v>
      </c>
      <c r="F10" s="26">
        <f>ROUND(2.58,5)</f>
        <v>2.58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ROUND(3.2,5)</f>
        <v>3.2</v>
      </c>
      <c r="D12" s="26">
        <f>F12</f>
        <v>3.2</v>
      </c>
      <c r="E12" s="26">
        <f>F12</f>
        <v>3.2</v>
      </c>
      <c r="F12" s="26">
        <f>ROUND(3.2,5)</f>
        <v>3.2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ROUND(10.815,5)</f>
        <v>10.815</v>
      </c>
      <c r="D14" s="26">
        <f>F14</f>
        <v>10.815</v>
      </c>
      <c r="E14" s="26">
        <f>F14</f>
        <v>10.815</v>
      </c>
      <c r="F14" s="26">
        <f>ROUND(10.815,5)</f>
        <v>10.815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ROUND(8.055,5)</f>
        <v>8.055</v>
      </c>
      <c r="D16" s="26">
        <f>F16</f>
        <v>8.055</v>
      </c>
      <c r="E16" s="26">
        <f>F16</f>
        <v>8.055</v>
      </c>
      <c r="F16" s="26">
        <f>ROUND(8.055,5)</f>
        <v>8.055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ROUND(8.7,3)</f>
        <v>8.7</v>
      </c>
      <c r="D18" s="27">
        <f>F18</f>
        <v>8.7</v>
      </c>
      <c r="E18" s="27">
        <f>F18</f>
        <v>8.7</v>
      </c>
      <c r="F18" s="27">
        <f>ROUND(8.7,3)</f>
        <v>8.7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ROUND(2.36,3)</f>
        <v>2.36</v>
      </c>
      <c r="D20" s="27">
        <f>F20</f>
        <v>2.36</v>
      </c>
      <c r="E20" s="27">
        <f>F20</f>
        <v>2.36</v>
      </c>
      <c r="F20" s="27">
        <f>ROUND(2.36,3)</f>
        <v>2.36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ROUND(2.49,3)</f>
        <v>2.49</v>
      </c>
      <c r="D22" s="27">
        <f>F22</f>
        <v>2.49</v>
      </c>
      <c r="E22" s="27">
        <f>F22</f>
        <v>2.49</v>
      </c>
      <c r="F22" s="27">
        <f>ROUND(2.49,3)</f>
        <v>2.49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43455</v>
      </c>
      <c r="B24" s="22"/>
      <c r="C24" s="27">
        <f>ROUND(7.11,3)</f>
        <v>7.11</v>
      </c>
      <c r="D24" s="27">
        <f>F24</f>
        <v>7.11</v>
      </c>
      <c r="E24" s="27">
        <f>F24</f>
        <v>7.11</v>
      </c>
      <c r="F24" s="27">
        <f>ROUND(7.11,3)</f>
        <v>7.11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43845</v>
      </c>
      <c r="B26" s="22"/>
      <c r="C26" s="27">
        <f>ROUND(7.43,3)</f>
        <v>7.43</v>
      </c>
      <c r="D26" s="27">
        <f>F26</f>
        <v>7.43</v>
      </c>
      <c r="E26" s="27">
        <f>F26</f>
        <v>7.43</v>
      </c>
      <c r="F26" s="27">
        <f>ROUND(7.43,3)</f>
        <v>7.43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44286</v>
      </c>
      <c r="B28" s="22"/>
      <c r="C28" s="27">
        <f>ROUND(7.655,3)</f>
        <v>7.655</v>
      </c>
      <c r="D28" s="27">
        <f>F28</f>
        <v>7.655</v>
      </c>
      <c r="E28" s="27">
        <f>F28</f>
        <v>7.655</v>
      </c>
      <c r="F28" s="27">
        <f>ROUND(7.655,3)</f>
        <v>7.655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49765</v>
      </c>
      <c r="B30" s="22"/>
      <c r="C30" s="27">
        <f>ROUND(9.61,3)</f>
        <v>9.61</v>
      </c>
      <c r="D30" s="27">
        <f>F30</f>
        <v>9.61</v>
      </c>
      <c r="E30" s="27">
        <f>F30</f>
        <v>9.61</v>
      </c>
      <c r="F30" s="27">
        <f>ROUND(9.61,3)</f>
        <v>9.61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ROUND(2.48,3)</f>
        <v>2.48</v>
      </c>
      <c r="D32" s="27">
        <f>F32</f>
        <v>2.48</v>
      </c>
      <c r="E32" s="27">
        <f>F32</f>
        <v>2.48</v>
      </c>
      <c r="F32" s="27">
        <f>ROUND(2.48,3)</f>
        <v>2.48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44592</v>
      </c>
      <c r="B34" s="22"/>
      <c r="C34" s="27">
        <f>ROUND(2.32,3)</f>
        <v>2.32</v>
      </c>
      <c r="D34" s="27">
        <f>F34</f>
        <v>2.32</v>
      </c>
      <c r="E34" s="27">
        <f>F34</f>
        <v>2.32</v>
      </c>
      <c r="F34" s="27">
        <f>ROUND(2.32,3)</f>
        <v>2.32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ROUND(9.335,3)</f>
        <v>9.335</v>
      </c>
      <c r="D36" s="27">
        <f>F36</f>
        <v>9.335</v>
      </c>
      <c r="E36" s="27">
        <f>F36</f>
        <v>9.335</v>
      </c>
      <c r="F36" s="27">
        <f>ROUND(9.335,3)</f>
        <v>9.335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43041</v>
      </c>
      <c r="B38" s="22"/>
      <c r="C38" s="26">
        <f>ROUND(2.37,5)</f>
        <v>2.37</v>
      </c>
      <c r="D38" s="26">
        <f>F38</f>
        <v>130.62528</v>
      </c>
      <c r="E38" s="26">
        <f>F38</f>
        <v>130.62528</v>
      </c>
      <c r="F38" s="26">
        <f>ROUND(130.62528,5)</f>
        <v>130.62528</v>
      </c>
      <c r="G38" s="24"/>
      <c r="H38" s="36"/>
    </row>
    <row r="39" spans="1:8" ht="12.75" customHeight="1">
      <c r="A39" s="22">
        <v>43132</v>
      </c>
      <c r="B39" s="22"/>
      <c r="C39" s="26">
        <f>ROUND(2.37,5)</f>
        <v>2.37</v>
      </c>
      <c r="D39" s="26">
        <f>F39</f>
        <v>131.73155</v>
      </c>
      <c r="E39" s="26">
        <f>F39</f>
        <v>131.73155</v>
      </c>
      <c r="F39" s="26">
        <f>ROUND(131.73155,5)</f>
        <v>131.73155</v>
      </c>
      <c r="G39" s="24"/>
      <c r="H39" s="36"/>
    </row>
    <row r="40" spans="1:8" ht="12.75" customHeight="1">
      <c r="A40" s="22">
        <v>43223</v>
      </c>
      <c r="B40" s="22"/>
      <c r="C40" s="26">
        <f>ROUND(2.37,5)</f>
        <v>2.37</v>
      </c>
      <c r="D40" s="26">
        <f>F40</f>
        <v>134.22979</v>
      </c>
      <c r="E40" s="26">
        <f>F40</f>
        <v>134.22979</v>
      </c>
      <c r="F40" s="26">
        <f>ROUND(134.22979,5)</f>
        <v>134.22979</v>
      </c>
      <c r="G40" s="24"/>
      <c r="H40" s="36"/>
    </row>
    <row r="41" spans="1:8" ht="12.75" customHeight="1">
      <c r="A41" s="22">
        <v>43314</v>
      </c>
      <c r="B41" s="22"/>
      <c r="C41" s="26">
        <f>ROUND(2.37,5)</f>
        <v>2.37</v>
      </c>
      <c r="D41" s="26">
        <f>F41</f>
        <v>136.78379</v>
      </c>
      <c r="E41" s="26">
        <f>F41</f>
        <v>136.78379</v>
      </c>
      <c r="F41" s="26">
        <f>ROUND(136.78379,5)</f>
        <v>136.78379</v>
      </c>
      <c r="G41" s="24"/>
      <c r="H41" s="36"/>
    </row>
    <row r="42" spans="1:8" ht="12.75" customHeight="1">
      <c r="A42" s="22">
        <v>43405</v>
      </c>
      <c r="B42" s="22"/>
      <c r="C42" s="26">
        <f>ROUND(2.37,5)</f>
        <v>2.37</v>
      </c>
      <c r="D42" s="26">
        <f>F42</f>
        <v>139.32779</v>
      </c>
      <c r="E42" s="26">
        <f>F42</f>
        <v>139.32779</v>
      </c>
      <c r="F42" s="26">
        <f>ROUND(139.32779,5)</f>
        <v>139.32779</v>
      </c>
      <c r="G42" s="24"/>
      <c r="H42" s="36"/>
    </row>
    <row r="43" spans="1:8" ht="12.75" customHeight="1">
      <c r="A43" s="22" t="s">
        <v>29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43041</v>
      </c>
      <c r="B44" s="22"/>
      <c r="C44" s="26">
        <f>ROUND(99.39132,5)</f>
        <v>99.39132</v>
      </c>
      <c r="D44" s="26">
        <f>F44</f>
        <v>99.92917</v>
      </c>
      <c r="E44" s="26">
        <f>F44</f>
        <v>99.92917</v>
      </c>
      <c r="F44" s="26">
        <f>ROUND(99.92917,5)</f>
        <v>99.92917</v>
      </c>
      <c r="G44" s="24"/>
      <c r="H44" s="36"/>
    </row>
    <row r="45" spans="1:8" ht="12.75" customHeight="1">
      <c r="A45" s="22">
        <v>43132</v>
      </c>
      <c r="B45" s="22"/>
      <c r="C45" s="26">
        <f>ROUND(99.39132,5)</f>
        <v>99.39132</v>
      </c>
      <c r="D45" s="26">
        <f>F45</f>
        <v>101.79882</v>
      </c>
      <c r="E45" s="26">
        <f>F45</f>
        <v>101.79882</v>
      </c>
      <c r="F45" s="26">
        <f>ROUND(101.79882,5)</f>
        <v>101.79882</v>
      </c>
      <c r="G45" s="24"/>
      <c r="H45" s="36"/>
    </row>
    <row r="46" spans="1:8" ht="12.75" customHeight="1">
      <c r="A46" s="22">
        <v>43223</v>
      </c>
      <c r="B46" s="22"/>
      <c r="C46" s="26">
        <f>ROUND(99.39132,5)</f>
        <v>99.39132</v>
      </c>
      <c r="D46" s="26">
        <f>F46</f>
        <v>102.71233</v>
      </c>
      <c r="E46" s="26">
        <f>F46</f>
        <v>102.71233</v>
      </c>
      <c r="F46" s="26">
        <f>ROUND(102.71233,5)</f>
        <v>102.71233</v>
      </c>
      <c r="G46" s="24"/>
      <c r="H46" s="36"/>
    </row>
    <row r="47" spans="1:8" ht="12.75" customHeight="1">
      <c r="A47" s="22">
        <v>43314</v>
      </c>
      <c r="B47" s="22"/>
      <c r="C47" s="26">
        <f>ROUND(99.39132,5)</f>
        <v>99.39132</v>
      </c>
      <c r="D47" s="26">
        <f>F47</f>
        <v>104.66658</v>
      </c>
      <c r="E47" s="26">
        <f>F47</f>
        <v>104.66658</v>
      </c>
      <c r="F47" s="26">
        <f>ROUND(104.66658,5)</f>
        <v>104.66658</v>
      </c>
      <c r="G47" s="24"/>
      <c r="H47" s="36"/>
    </row>
    <row r="48" spans="1:8" ht="12.75" customHeight="1">
      <c r="A48" s="22">
        <v>43405</v>
      </c>
      <c r="B48" s="22"/>
      <c r="C48" s="26">
        <f>ROUND(99.39132,5)</f>
        <v>99.39132</v>
      </c>
      <c r="D48" s="26">
        <f>F48</f>
        <v>106.6131</v>
      </c>
      <c r="E48" s="26">
        <f>F48</f>
        <v>106.6131</v>
      </c>
      <c r="F48" s="26">
        <f>ROUND(106.6131,5)</f>
        <v>106.6131</v>
      </c>
      <c r="G48" s="24"/>
      <c r="H48" s="36"/>
    </row>
    <row r="49" spans="1:8" ht="12.75" customHeight="1">
      <c r="A49" s="22" t="s">
        <v>30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43041</v>
      </c>
      <c r="B50" s="22"/>
      <c r="C50" s="26">
        <f>ROUND(9.265,5)</f>
        <v>9.265</v>
      </c>
      <c r="D50" s="26">
        <f>F50</f>
        <v>9.28267</v>
      </c>
      <c r="E50" s="26">
        <f>F50</f>
        <v>9.28267</v>
      </c>
      <c r="F50" s="26">
        <f>ROUND(9.28267,5)</f>
        <v>9.28267</v>
      </c>
      <c r="G50" s="24"/>
      <c r="H50" s="36"/>
    </row>
    <row r="51" spans="1:8" ht="12.75" customHeight="1">
      <c r="A51" s="22">
        <v>43132</v>
      </c>
      <c r="B51" s="22"/>
      <c r="C51" s="26">
        <f>ROUND(9.265,5)</f>
        <v>9.265</v>
      </c>
      <c r="D51" s="26">
        <f>F51</f>
        <v>9.34302</v>
      </c>
      <c r="E51" s="26">
        <f>F51</f>
        <v>9.34302</v>
      </c>
      <c r="F51" s="26">
        <f>ROUND(9.34302,5)</f>
        <v>9.34302</v>
      </c>
      <c r="G51" s="24"/>
      <c r="H51" s="36"/>
    </row>
    <row r="52" spans="1:8" ht="12.75" customHeight="1">
      <c r="A52" s="22">
        <v>43223</v>
      </c>
      <c r="B52" s="22"/>
      <c r="C52" s="26">
        <f>ROUND(9.265,5)</f>
        <v>9.265</v>
      </c>
      <c r="D52" s="26">
        <f>F52</f>
        <v>9.40691</v>
      </c>
      <c r="E52" s="26">
        <f>F52</f>
        <v>9.40691</v>
      </c>
      <c r="F52" s="26">
        <f>ROUND(9.40691,5)</f>
        <v>9.40691</v>
      </c>
      <c r="G52" s="24"/>
      <c r="H52" s="36"/>
    </row>
    <row r="53" spans="1:8" ht="12.75" customHeight="1">
      <c r="A53" s="22">
        <v>43314</v>
      </c>
      <c r="B53" s="22"/>
      <c r="C53" s="26">
        <f>ROUND(9.265,5)</f>
        <v>9.265</v>
      </c>
      <c r="D53" s="26">
        <f>F53</f>
        <v>9.47345</v>
      </c>
      <c r="E53" s="26">
        <f>F53</f>
        <v>9.47345</v>
      </c>
      <c r="F53" s="26">
        <f>ROUND(9.47345,5)</f>
        <v>9.47345</v>
      </c>
      <c r="G53" s="24"/>
      <c r="H53" s="36"/>
    </row>
    <row r="54" spans="1:8" ht="12.75" customHeight="1">
      <c r="A54" s="22">
        <v>43405</v>
      </c>
      <c r="B54" s="22"/>
      <c r="C54" s="26">
        <f>ROUND(9.265,5)</f>
        <v>9.265</v>
      </c>
      <c r="D54" s="26">
        <f>F54</f>
        <v>9.53364</v>
      </c>
      <c r="E54" s="26">
        <f>F54</f>
        <v>9.53364</v>
      </c>
      <c r="F54" s="26">
        <f>ROUND(9.53364,5)</f>
        <v>9.53364</v>
      </c>
      <c r="G54" s="24"/>
      <c r="H54" s="36"/>
    </row>
    <row r="55" spans="1:8" ht="12.75" customHeight="1">
      <c r="A55" s="22" t="s">
        <v>31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43041</v>
      </c>
      <c r="B56" s="22"/>
      <c r="C56" s="26">
        <f>ROUND(9.475,5)</f>
        <v>9.475</v>
      </c>
      <c r="D56" s="26">
        <f>F56</f>
        <v>9.49404</v>
      </c>
      <c r="E56" s="26">
        <f>F56</f>
        <v>9.49404</v>
      </c>
      <c r="F56" s="26">
        <f>ROUND(9.49404,5)</f>
        <v>9.49404</v>
      </c>
      <c r="G56" s="24"/>
      <c r="H56" s="36"/>
    </row>
    <row r="57" spans="1:8" ht="12.75" customHeight="1">
      <c r="A57" s="22">
        <v>43132</v>
      </c>
      <c r="B57" s="22"/>
      <c r="C57" s="26">
        <f>ROUND(9.475,5)</f>
        <v>9.475</v>
      </c>
      <c r="D57" s="26">
        <f>F57</f>
        <v>9.55903</v>
      </c>
      <c r="E57" s="26">
        <f>F57</f>
        <v>9.55903</v>
      </c>
      <c r="F57" s="26">
        <f>ROUND(9.55903,5)</f>
        <v>9.55903</v>
      </c>
      <c r="G57" s="24"/>
      <c r="H57" s="36"/>
    </row>
    <row r="58" spans="1:8" ht="12.75" customHeight="1">
      <c r="A58" s="22">
        <v>43223</v>
      </c>
      <c r="B58" s="22"/>
      <c r="C58" s="26">
        <f>ROUND(9.475,5)</f>
        <v>9.475</v>
      </c>
      <c r="D58" s="26">
        <f>F58</f>
        <v>9.62347</v>
      </c>
      <c r="E58" s="26">
        <f>F58</f>
        <v>9.62347</v>
      </c>
      <c r="F58" s="26">
        <f>ROUND(9.62347,5)</f>
        <v>9.62347</v>
      </c>
      <c r="G58" s="24"/>
      <c r="H58" s="36"/>
    </row>
    <row r="59" spans="1:8" ht="12.75" customHeight="1">
      <c r="A59" s="22">
        <v>43314</v>
      </c>
      <c r="B59" s="22"/>
      <c r="C59" s="26">
        <f>ROUND(9.475,5)</f>
        <v>9.475</v>
      </c>
      <c r="D59" s="26">
        <f>F59</f>
        <v>9.68821</v>
      </c>
      <c r="E59" s="26">
        <f>F59</f>
        <v>9.68821</v>
      </c>
      <c r="F59" s="26">
        <f>ROUND(9.68821,5)</f>
        <v>9.68821</v>
      </c>
      <c r="G59" s="24"/>
      <c r="H59" s="36"/>
    </row>
    <row r="60" spans="1:8" ht="12.75" customHeight="1">
      <c r="A60" s="22">
        <v>43405</v>
      </c>
      <c r="B60" s="22"/>
      <c r="C60" s="26">
        <f>ROUND(9.475,5)</f>
        <v>9.475</v>
      </c>
      <c r="D60" s="26">
        <f>F60</f>
        <v>9.75367</v>
      </c>
      <c r="E60" s="26">
        <f>F60</f>
        <v>9.75367</v>
      </c>
      <c r="F60" s="26">
        <f>ROUND(9.75367,5)</f>
        <v>9.75367</v>
      </c>
      <c r="G60" s="24"/>
      <c r="H60" s="36"/>
    </row>
    <row r="61" spans="1:8" ht="12.75" customHeight="1">
      <c r="A61" s="22" t="s">
        <v>32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43041</v>
      </c>
      <c r="B62" s="22"/>
      <c r="C62" s="26">
        <f>ROUND(104.50154,5)</f>
        <v>104.50154</v>
      </c>
      <c r="D62" s="26">
        <f>F62</f>
        <v>105.06695</v>
      </c>
      <c r="E62" s="26">
        <f>F62</f>
        <v>105.06695</v>
      </c>
      <c r="F62" s="26">
        <f>ROUND(105.06695,5)</f>
        <v>105.06695</v>
      </c>
      <c r="G62" s="24"/>
      <c r="H62" s="36"/>
    </row>
    <row r="63" spans="1:8" ht="12.75" customHeight="1">
      <c r="A63" s="22">
        <v>43132</v>
      </c>
      <c r="B63" s="22"/>
      <c r="C63" s="26">
        <f>ROUND(104.50154,5)</f>
        <v>104.50154</v>
      </c>
      <c r="D63" s="26">
        <f>F63</f>
        <v>107.03287</v>
      </c>
      <c r="E63" s="26">
        <f>F63</f>
        <v>107.03287</v>
      </c>
      <c r="F63" s="26">
        <f>ROUND(107.03287,5)</f>
        <v>107.03287</v>
      </c>
      <c r="G63" s="24"/>
      <c r="H63" s="36"/>
    </row>
    <row r="64" spans="1:8" ht="12.75" customHeight="1">
      <c r="A64" s="22">
        <v>43223</v>
      </c>
      <c r="B64" s="22"/>
      <c r="C64" s="26">
        <f>ROUND(104.50154,5)</f>
        <v>104.50154</v>
      </c>
      <c r="D64" s="26">
        <f>F64</f>
        <v>107.97593</v>
      </c>
      <c r="E64" s="26">
        <f>F64</f>
        <v>107.97593</v>
      </c>
      <c r="F64" s="26">
        <f>ROUND(107.97593,5)</f>
        <v>107.97593</v>
      </c>
      <c r="G64" s="24"/>
      <c r="H64" s="36"/>
    </row>
    <row r="65" spans="1:8" ht="12.75" customHeight="1">
      <c r="A65" s="22">
        <v>43314</v>
      </c>
      <c r="B65" s="22"/>
      <c r="C65" s="26">
        <f>ROUND(104.50154,5)</f>
        <v>104.50154</v>
      </c>
      <c r="D65" s="26">
        <f>F65</f>
        <v>110.03036</v>
      </c>
      <c r="E65" s="26">
        <f>F65</f>
        <v>110.03036</v>
      </c>
      <c r="F65" s="26">
        <f>ROUND(110.03036,5)</f>
        <v>110.03036</v>
      </c>
      <c r="G65" s="24"/>
      <c r="H65" s="36"/>
    </row>
    <row r="66" spans="1:8" ht="12.75" customHeight="1">
      <c r="A66" s="22">
        <v>43405</v>
      </c>
      <c r="B66" s="22"/>
      <c r="C66" s="26">
        <f>ROUND(104.50154,5)</f>
        <v>104.50154</v>
      </c>
      <c r="D66" s="26">
        <f>F66</f>
        <v>112.07671</v>
      </c>
      <c r="E66" s="26">
        <f>F66</f>
        <v>112.07671</v>
      </c>
      <c r="F66" s="26">
        <f>ROUND(112.07671,5)</f>
        <v>112.07671</v>
      </c>
      <c r="G66" s="24"/>
      <c r="H66" s="36"/>
    </row>
    <row r="67" spans="1:8" ht="12.75" customHeight="1">
      <c r="A67" s="22" t="s">
        <v>33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43041</v>
      </c>
      <c r="B68" s="22"/>
      <c r="C68" s="26">
        <f>ROUND(9.765,5)</f>
        <v>9.765</v>
      </c>
      <c r="D68" s="26">
        <f>F68</f>
        <v>9.784</v>
      </c>
      <c r="E68" s="26">
        <f>F68</f>
        <v>9.784</v>
      </c>
      <c r="F68" s="26">
        <f>ROUND(9.784,5)</f>
        <v>9.784</v>
      </c>
      <c r="G68" s="24"/>
      <c r="H68" s="36"/>
    </row>
    <row r="69" spans="1:8" ht="12.75" customHeight="1">
      <c r="A69" s="22">
        <v>43132</v>
      </c>
      <c r="B69" s="22"/>
      <c r="C69" s="26">
        <f>ROUND(9.765,5)</f>
        <v>9.765</v>
      </c>
      <c r="D69" s="26">
        <f>F69</f>
        <v>9.84894</v>
      </c>
      <c r="E69" s="26">
        <f>F69</f>
        <v>9.84894</v>
      </c>
      <c r="F69" s="26">
        <f>ROUND(9.84894,5)</f>
        <v>9.84894</v>
      </c>
      <c r="G69" s="24"/>
      <c r="H69" s="36"/>
    </row>
    <row r="70" spans="1:8" ht="12.75" customHeight="1">
      <c r="A70" s="22">
        <v>43223</v>
      </c>
      <c r="B70" s="22"/>
      <c r="C70" s="26">
        <f>ROUND(9.765,5)</f>
        <v>9.765</v>
      </c>
      <c r="D70" s="26">
        <f>F70</f>
        <v>9.91663</v>
      </c>
      <c r="E70" s="26">
        <f>F70</f>
        <v>9.91663</v>
      </c>
      <c r="F70" s="26">
        <f>ROUND(9.91663,5)</f>
        <v>9.91663</v>
      </c>
      <c r="G70" s="24"/>
      <c r="H70" s="36"/>
    </row>
    <row r="71" spans="1:8" ht="12.75" customHeight="1">
      <c r="A71" s="22">
        <v>43314</v>
      </c>
      <c r="B71" s="22"/>
      <c r="C71" s="26">
        <f>ROUND(9.765,5)</f>
        <v>9.765</v>
      </c>
      <c r="D71" s="26">
        <f>F71</f>
        <v>9.9868</v>
      </c>
      <c r="E71" s="26">
        <f>F71</f>
        <v>9.9868</v>
      </c>
      <c r="F71" s="26">
        <f>ROUND(9.9868,5)</f>
        <v>9.9868</v>
      </c>
      <c r="G71" s="24"/>
      <c r="H71" s="36"/>
    </row>
    <row r="72" spans="1:8" ht="12.75" customHeight="1">
      <c r="A72" s="22">
        <v>43405</v>
      </c>
      <c r="B72" s="22"/>
      <c r="C72" s="26">
        <f>ROUND(9.765,5)</f>
        <v>9.765</v>
      </c>
      <c r="D72" s="26">
        <f>F72</f>
        <v>10.051</v>
      </c>
      <c r="E72" s="26">
        <f>F72</f>
        <v>10.051</v>
      </c>
      <c r="F72" s="26">
        <f>ROUND(10.051,5)</f>
        <v>10.051</v>
      </c>
      <c r="G72" s="24"/>
      <c r="H72" s="36"/>
    </row>
    <row r="73" spans="1:8" ht="12.75" customHeight="1">
      <c r="A73" s="22" t="s">
        <v>34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43041</v>
      </c>
      <c r="B74" s="22"/>
      <c r="C74" s="26">
        <f>ROUND(2.49,5)</f>
        <v>2.49</v>
      </c>
      <c r="D74" s="26">
        <f>F74</f>
        <v>128.90449</v>
      </c>
      <c r="E74" s="26">
        <f>F74</f>
        <v>128.90449</v>
      </c>
      <c r="F74" s="26">
        <f>ROUND(128.90449,5)</f>
        <v>128.90449</v>
      </c>
      <c r="G74" s="24"/>
      <c r="H74" s="36"/>
    </row>
    <row r="75" spans="1:8" ht="12.75" customHeight="1">
      <c r="A75" s="22">
        <v>43132</v>
      </c>
      <c r="B75" s="22"/>
      <c r="C75" s="26">
        <f>ROUND(2.49,5)</f>
        <v>2.49</v>
      </c>
      <c r="D75" s="26">
        <f>F75</f>
        <v>129.81138</v>
      </c>
      <c r="E75" s="26">
        <f>F75</f>
        <v>129.81138</v>
      </c>
      <c r="F75" s="26">
        <f>ROUND(129.81138,5)</f>
        <v>129.81138</v>
      </c>
      <c r="G75" s="24"/>
      <c r="H75" s="36"/>
    </row>
    <row r="76" spans="1:8" ht="12.75" customHeight="1">
      <c r="A76" s="22">
        <v>43223</v>
      </c>
      <c r="B76" s="22"/>
      <c r="C76" s="26">
        <f>ROUND(2.49,5)</f>
        <v>2.49</v>
      </c>
      <c r="D76" s="26">
        <f>F76</f>
        <v>132.27324</v>
      </c>
      <c r="E76" s="26">
        <f>F76</f>
        <v>132.27324</v>
      </c>
      <c r="F76" s="26">
        <f>ROUND(132.27324,5)</f>
        <v>132.27324</v>
      </c>
      <c r="G76" s="24"/>
      <c r="H76" s="36"/>
    </row>
    <row r="77" spans="1:8" ht="12.75" customHeight="1">
      <c r="A77" s="22">
        <v>43314</v>
      </c>
      <c r="B77" s="22"/>
      <c r="C77" s="26">
        <f>ROUND(2.49,5)</f>
        <v>2.49</v>
      </c>
      <c r="D77" s="26">
        <f>F77</f>
        <v>134.78999</v>
      </c>
      <c r="E77" s="26">
        <f>F77</f>
        <v>134.78999</v>
      </c>
      <c r="F77" s="26">
        <f>ROUND(134.78999,5)</f>
        <v>134.78999</v>
      </c>
      <c r="G77" s="24"/>
      <c r="H77" s="36"/>
    </row>
    <row r="78" spans="1:8" ht="12.75" customHeight="1">
      <c r="A78" s="22">
        <v>43405</v>
      </c>
      <c r="B78" s="22"/>
      <c r="C78" s="26">
        <f>ROUND(2.49,5)</f>
        <v>2.49</v>
      </c>
      <c r="D78" s="26">
        <f>F78</f>
        <v>137.29685</v>
      </c>
      <c r="E78" s="26">
        <f>F78</f>
        <v>137.29685</v>
      </c>
      <c r="F78" s="26">
        <f>ROUND(137.29685,5)</f>
        <v>137.29685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43041</v>
      </c>
      <c r="B80" s="22"/>
      <c r="C80" s="26">
        <f>ROUND(9.86,5)</f>
        <v>9.86</v>
      </c>
      <c r="D80" s="26">
        <f>F80</f>
        <v>9.87923</v>
      </c>
      <c r="E80" s="26">
        <f>F80</f>
        <v>9.87923</v>
      </c>
      <c r="F80" s="26">
        <f>ROUND(9.87923,5)</f>
        <v>9.87923</v>
      </c>
      <c r="G80" s="24"/>
      <c r="H80" s="36"/>
    </row>
    <row r="81" spans="1:8" ht="12.75" customHeight="1">
      <c r="A81" s="22">
        <v>43132</v>
      </c>
      <c r="B81" s="22"/>
      <c r="C81" s="26">
        <f>ROUND(9.86,5)</f>
        <v>9.86</v>
      </c>
      <c r="D81" s="26">
        <f>F81</f>
        <v>9.94497</v>
      </c>
      <c r="E81" s="26">
        <f>F81</f>
        <v>9.94497</v>
      </c>
      <c r="F81" s="26">
        <f>ROUND(9.94497,5)</f>
        <v>9.94497</v>
      </c>
      <c r="G81" s="24"/>
      <c r="H81" s="36"/>
    </row>
    <row r="82" spans="1:8" ht="12.75" customHeight="1">
      <c r="A82" s="22">
        <v>43223</v>
      </c>
      <c r="B82" s="22"/>
      <c r="C82" s="26">
        <f>ROUND(9.86,5)</f>
        <v>9.86</v>
      </c>
      <c r="D82" s="26">
        <f>F82</f>
        <v>10.01332</v>
      </c>
      <c r="E82" s="26">
        <f>F82</f>
        <v>10.01332</v>
      </c>
      <c r="F82" s="26">
        <f>ROUND(10.01332,5)</f>
        <v>10.01332</v>
      </c>
      <c r="G82" s="24"/>
      <c r="H82" s="36"/>
    </row>
    <row r="83" spans="1:8" ht="12.75" customHeight="1">
      <c r="A83" s="22">
        <v>43314</v>
      </c>
      <c r="B83" s="22"/>
      <c r="C83" s="26">
        <f>ROUND(9.86,5)</f>
        <v>9.86</v>
      </c>
      <c r="D83" s="26">
        <f>F83</f>
        <v>10.08416</v>
      </c>
      <c r="E83" s="26">
        <f>F83</f>
        <v>10.08416</v>
      </c>
      <c r="F83" s="26">
        <f>ROUND(10.08416,5)</f>
        <v>10.08416</v>
      </c>
      <c r="G83" s="24"/>
      <c r="H83" s="36"/>
    </row>
    <row r="84" spans="1:8" ht="12.75" customHeight="1">
      <c r="A84" s="22">
        <v>43405</v>
      </c>
      <c r="B84" s="22"/>
      <c r="C84" s="26">
        <f>ROUND(9.86,5)</f>
        <v>9.86</v>
      </c>
      <c r="D84" s="26">
        <f>F84</f>
        <v>10.14905</v>
      </c>
      <c r="E84" s="26">
        <f>F84</f>
        <v>10.14905</v>
      </c>
      <c r="F84" s="26">
        <f>ROUND(10.14905,5)</f>
        <v>10.14905</v>
      </c>
      <c r="G84" s="24"/>
      <c r="H84" s="36"/>
    </row>
    <row r="85" spans="1:8" ht="12.75" customHeight="1">
      <c r="A85" s="22" t="s">
        <v>36</v>
      </c>
      <c r="B85" s="22"/>
      <c r="C85" s="25"/>
      <c r="D85" s="25"/>
      <c r="E85" s="25"/>
      <c r="F85" s="25"/>
      <c r="G85" s="24"/>
      <c r="H85" s="36"/>
    </row>
    <row r="86" spans="1:8" ht="12.75" customHeight="1">
      <c r="A86" s="22">
        <v>43041</v>
      </c>
      <c r="B86" s="22"/>
      <c r="C86" s="26">
        <f>ROUND(9.87,5)</f>
        <v>9.87</v>
      </c>
      <c r="D86" s="26">
        <f>F86</f>
        <v>9.88851</v>
      </c>
      <c r="E86" s="26">
        <f>F86</f>
        <v>9.88851</v>
      </c>
      <c r="F86" s="26">
        <f>ROUND(9.88851,5)</f>
        <v>9.88851</v>
      </c>
      <c r="G86" s="24"/>
      <c r="H86" s="36"/>
    </row>
    <row r="87" spans="1:8" ht="12.75" customHeight="1">
      <c r="A87" s="22">
        <v>43132</v>
      </c>
      <c r="B87" s="22"/>
      <c r="C87" s="26">
        <f>ROUND(9.87,5)</f>
        <v>9.87</v>
      </c>
      <c r="D87" s="26">
        <f>F87</f>
        <v>9.95169</v>
      </c>
      <c r="E87" s="26">
        <f>F87</f>
        <v>9.95169</v>
      </c>
      <c r="F87" s="26">
        <f>ROUND(9.95169,5)</f>
        <v>9.95169</v>
      </c>
      <c r="G87" s="24"/>
      <c r="H87" s="36"/>
    </row>
    <row r="88" spans="1:8" ht="12.75" customHeight="1">
      <c r="A88" s="22">
        <v>43223</v>
      </c>
      <c r="B88" s="22"/>
      <c r="C88" s="26">
        <f>ROUND(9.87,5)</f>
        <v>9.87</v>
      </c>
      <c r="D88" s="26">
        <f>F88</f>
        <v>10.01727</v>
      </c>
      <c r="E88" s="26">
        <f>F88</f>
        <v>10.01727</v>
      </c>
      <c r="F88" s="26">
        <f>ROUND(10.01727,5)</f>
        <v>10.01727</v>
      </c>
      <c r="G88" s="24"/>
      <c r="H88" s="36"/>
    </row>
    <row r="89" spans="1:8" ht="12.75" customHeight="1">
      <c r="A89" s="22">
        <v>43314</v>
      </c>
      <c r="B89" s="22"/>
      <c r="C89" s="26">
        <f>ROUND(9.87,5)</f>
        <v>9.87</v>
      </c>
      <c r="D89" s="26">
        <f>F89</f>
        <v>10.08509</v>
      </c>
      <c r="E89" s="26">
        <f>F89</f>
        <v>10.08509</v>
      </c>
      <c r="F89" s="26">
        <f>ROUND(10.08509,5)</f>
        <v>10.08509</v>
      </c>
      <c r="G89" s="24"/>
      <c r="H89" s="36"/>
    </row>
    <row r="90" spans="1:8" ht="12.75" customHeight="1">
      <c r="A90" s="22">
        <v>43405</v>
      </c>
      <c r="B90" s="22"/>
      <c r="C90" s="26">
        <f>ROUND(9.87,5)</f>
        <v>9.87</v>
      </c>
      <c r="D90" s="26">
        <f>F90</f>
        <v>10.14712</v>
      </c>
      <c r="E90" s="26">
        <f>F90</f>
        <v>10.14712</v>
      </c>
      <c r="F90" s="26">
        <f>ROUND(10.14712,5)</f>
        <v>10.14712</v>
      </c>
      <c r="G90" s="24"/>
      <c r="H90" s="36"/>
    </row>
    <row r="91" spans="1:8" ht="12.75" customHeight="1">
      <c r="A91" s="22" t="s">
        <v>37</v>
      </c>
      <c r="B91" s="22"/>
      <c r="C91" s="25"/>
      <c r="D91" s="25"/>
      <c r="E91" s="25"/>
      <c r="F91" s="25"/>
      <c r="G91" s="24"/>
      <c r="H91" s="36"/>
    </row>
    <row r="92" spans="1:8" ht="12.75" customHeight="1">
      <c r="A92" s="22">
        <v>43041</v>
      </c>
      <c r="B92" s="22"/>
      <c r="C92" s="26">
        <f>ROUND(122.88955,5)</f>
        <v>122.88955</v>
      </c>
      <c r="D92" s="26">
        <f>F92</f>
        <v>123.55453</v>
      </c>
      <c r="E92" s="26">
        <f>F92</f>
        <v>123.55453</v>
      </c>
      <c r="F92" s="26">
        <f>ROUND(123.55453,5)</f>
        <v>123.55453</v>
      </c>
      <c r="G92" s="24"/>
      <c r="H92" s="36"/>
    </row>
    <row r="93" spans="1:8" ht="12.75" customHeight="1">
      <c r="A93" s="22">
        <v>43132</v>
      </c>
      <c r="B93" s="22"/>
      <c r="C93" s="26">
        <f>ROUND(122.88955,5)</f>
        <v>122.88955</v>
      </c>
      <c r="D93" s="26">
        <f>F93</f>
        <v>125.86621</v>
      </c>
      <c r="E93" s="26">
        <f>F93</f>
        <v>125.86621</v>
      </c>
      <c r="F93" s="26">
        <f>ROUND(125.86621,5)</f>
        <v>125.86621</v>
      </c>
      <c r="G93" s="24"/>
      <c r="H93" s="36"/>
    </row>
    <row r="94" spans="1:8" ht="12.75" customHeight="1">
      <c r="A94" s="22">
        <v>43223</v>
      </c>
      <c r="B94" s="22"/>
      <c r="C94" s="26">
        <f>ROUND(122.88955,5)</f>
        <v>122.88955</v>
      </c>
      <c r="D94" s="26">
        <f>F94</f>
        <v>126.6551</v>
      </c>
      <c r="E94" s="26">
        <f>F94</f>
        <v>126.6551</v>
      </c>
      <c r="F94" s="26">
        <f>ROUND(126.6551,5)</f>
        <v>126.6551</v>
      </c>
      <c r="G94" s="24"/>
      <c r="H94" s="36"/>
    </row>
    <row r="95" spans="1:8" ht="12.75" customHeight="1">
      <c r="A95" s="22">
        <v>43314</v>
      </c>
      <c r="B95" s="22"/>
      <c r="C95" s="26">
        <f>ROUND(122.88955,5)</f>
        <v>122.88955</v>
      </c>
      <c r="D95" s="26">
        <f>F95</f>
        <v>129.06483</v>
      </c>
      <c r="E95" s="26">
        <f>F95</f>
        <v>129.06483</v>
      </c>
      <c r="F95" s="26">
        <f>ROUND(129.06483,5)</f>
        <v>129.06483</v>
      </c>
      <c r="G95" s="24"/>
      <c r="H95" s="36"/>
    </row>
    <row r="96" spans="1:8" ht="12.75" customHeight="1">
      <c r="A96" s="22">
        <v>43405</v>
      </c>
      <c r="B96" s="22"/>
      <c r="C96" s="26">
        <f>ROUND(122.88955,5)</f>
        <v>122.88955</v>
      </c>
      <c r="D96" s="26">
        <f>F96</f>
        <v>131.46493</v>
      </c>
      <c r="E96" s="26">
        <f>F96</f>
        <v>131.46493</v>
      </c>
      <c r="F96" s="26">
        <f>ROUND(131.46493,5)</f>
        <v>131.46493</v>
      </c>
      <c r="G96" s="24"/>
      <c r="H96" s="36"/>
    </row>
    <row r="97" spans="1:8" ht="12.75" customHeight="1">
      <c r="A97" s="22" t="s">
        <v>38</v>
      </c>
      <c r="B97" s="22"/>
      <c r="C97" s="25"/>
      <c r="D97" s="25"/>
      <c r="E97" s="25"/>
      <c r="F97" s="25"/>
      <c r="G97" s="24"/>
      <c r="H97" s="36"/>
    </row>
    <row r="98" spans="1:8" ht="12.75" customHeight="1">
      <c r="A98" s="22">
        <v>43041</v>
      </c>
      <c r="B98" s="22"/>
      <c r="C98" s="26">
        <f>ROUND(2.58,5)</f>
        <v>2.58</v>
      </c>
      <c r="D98" s="26">
        <f>F98</f>
        <v>131.8359</v>
      </c>
      <c r="E98" s="26">
        <f>F98</f>
        <v>131.8359</v>
      </c>
      <c r="F98" s="26">
        <f>ROUND(131.8359,5)</f>
        <v>131.8359</v>
      </c>
      <c r="G98" s="24"/>
      <c r="H98" s="36"/>
    </row>
    <row r="99" spans="1:8" ht="12.75" customHeight="1">
      <c r="A99" s="22">
        <v>43132</v>
      </c>
      <c r="B99" s="22"/>
      <c r="C99" s="26">
        <f>ROUND(2.58,5)</f>
        <v>2.58</v>
      </c>
      <c r="D99" s="26">
        <f>F99</f>
        <v>132.62929</v>
      </c>
      <c r="E99" s="26">
        <f>F99</f>
        <v>132.62929</v>
      </c>
      <c r="F99" s="26">
        <f>ROUND(132.62929,5)</f>
        <v>132.62929</v>
      </c>
      <c r="G99" s="24"/>
      <c r="H99" s="36"/>
    </row>
    <row r="100" spans="1:8" ht="12.75" customHeight="1">
      <c r="A100" s="22">
        <v>43223</v>
      </c>
      <c r="B100" s="22"/>
      <c r="C100" s="26">
        <f>ROUND(2.58,5)</f>
        <v>2.58</v>
      </c>
      <c r="D100" s="26">
        <f>F100</f>
        <v>135.14446</v>
      </c>
      <c r="E100" s="26">
        <f>F100</f>
        <v>135.14446</v>
      </c>
      <c r="F100" s="26">
        <f>ROUND(135.14446,5)</f>
        <v>135.14446</v>
      </c>
      <c r="G100" s="24"/>
      <c r="H100" s="36"/>
    </row>
    <row r="101" spans="1:8" ht="12.75" customHeight="1">
      <c r="A101" s="22">
        <v>43314</v>
      </c>
      <c r="B101" s="22"/>
      <c r="C101" s="26">
        <f>ROUND(2.58,5)</f>
        <v>2.58</v>
      </c>
      <c r="D101" s="26">
        <f>F101</f>
        <v>137.71588</v>
      </c>
      <c r="E101" s="26">
        <f>F101</f>
        <v>137.71588</v>
      </c>
      <c r="F101" s="26">
        <f>ROUND(137.71588,5)</f>
        <v>137.71588</v>
      </c>
      <c r="G101" s="24"/>
      <c r="H101" s="36"/>
    </row>
    <row r="102" spans="1:8" ht="12.75" customHeight="1">
      <c r="A102" s="22">
        <v>43405</v>
      </c>
      <c r="B102" s="22"/>
      <c r="C102" s="26">
        <f>ROUND(2.58,5)</f>
        <v>2.58</v>
      </c>
      <c r="D102" s="26">
        <f>F102</f>
        <v>140.27726</v>
      </c>
      <c r="E102" s="26">
        <f>F102</f>
        <v>140.27726</v>
      </c>
      <c r="F102" s="26">
        <f>ROUND(140.27726,5)</f>
        <v>140.27726</v>
      </c>
      <c r="G102" s="24"/>
      <c r="H102" s="36"/>
    </row>
    <row r="103" spans="1:8" ht="12.75" customHeight="1">
      <c r="A103" s="22" t="s">
        <v>39</v>
      </c>
      <c r="B103" s="22"/>
      <c r="C103" s="25"/>
      <c r="D103" s="25"/>
      <c r="E103" s="25"/>
      <c r="F103" s="25"/>
      <c r="G103" s="24"/>
      <c r="H103" s="36"/>
    </row>
    <row r="104" spans="1:8" ht="12.75" customHeight="1">
      <c r="A104" s="22">
        <v>43041</v>
      </c>
      <c r="B104" s="22"/>
      <c r="C104" s="26">
        <f>ROUND(3.2,5)</f>
        <v>3.2</v>
      </c>
      <c r="D104" s="26">
        <f>F104</f>
        <v>127.58648</v>
      </c>
      <c r="E104" s="26">
        <f>F104</f>
        <v>127.58648</v>
      </c>
      <c r="F104" s="26">
        <f>ROUND(127.58648,5)</f>
        <v>127.58648</v>
      </c>
      <c r="G104" s="24"/>
      <c r="H104" s="36"/>
    </row>
    <row r="105" spans="1:8" ht="12.75" customHeight="1">
      <c r="A105" s="22">
        <v>43132</v>
      </c>
      <c r="B105" s="22"/>
      <c r="C105" s="26">
        <f>ROUND(3.2,5)</f>
        <v>3.2</v>
      </c>
      <c r="D105" s="26">
        <f>F105</f>
        <v>129.97365</v>
      </c>
      <c r="E105" s="26">
        <f>F105</f>
        <v>129.97365</v>
      </c>
      <c r="F105" s="26">
        <f>ROUND(129.97365,5)</f>
        <v>129.97365</v>
      </c>
      <c r="G105" s="24"/>
      <c r="H105" s="36"/>
    </row>
    <row r="106" spans="1:8" ht="12.75" customHeight="1">
      <c r="A106" s="22">
        <v>43223</v>
      </c>
      <c r="B106" s="22"/>
      <c r="C106" s="26">
        <f>ROUND(3.2,5)</f>
        <v>3.2</v>
      </c>
      <c r="D106" s="26">
        <f>F106</f>
        <v>132.43858</v>
      </c>
      <c r="E106" s="26">
        <f>F106</f>
        <v>132.43858</v>
      </c>
      <c r="F106" s="26">
        <f>ROUND(132.43858,5)</f>
        <v>132.43858</v>
      </c>
      <c r="G106" s="24"/>
      <c r="H106" s="36"/>
    </row>
    <row r="107" spans="1:8" ht="12.75" customHeight="1">
      <c r="A107" s="22">
        <v>43314</v>
      </c>
      <c r="B107" s="22"/>
      <c r="C107" s="26">
        <f>ROUND(3.2,5)</f>
        <v>3.2</v>
      </c>
      <c r="D107" s="26">
        <f>F107</f>
        <v>134.95862</v>
      </c>
      <c r="E107" s="26">
        <f>F107</f>
        <v>134.95862</v>
      </c>
      <c r="F107" s="26">
        <f>ROUND(134.95862,5)</f>
        <v>134.95862</v>
      </c>
      <c r="G107" s="24"/>
      <c r="H107" s="36"/>
    </row>
    <row r="108" spans="1:8" ht="12.75" customHeight="1">
      <c r="A108" s="22">
        <v>43405</v>
      </c>
      <c r="B108" s="22"/>
      <c r="C108" s="26">
        <f>ROUND(3.2,5)</f>
        <v>3.2</v>
      </c>
      <c r="D108" s="26">
        <f>F108</f>
        <v>137.46897</v>
      </c>
      <c r="E108" s="26">
        <f>F108</f>
        <v>137.46897</v>
      </c>
      <c r="F108" s="26">
        <f>ROUND(137.46897,5)</f>
        <v>137.46897</v>
      </c>
      <c r="G108" s="24"/>
      <c r="H108" s="36"/>
    </row>
    <row r="109" spans="1:8" ht="12.75" customHeight="1">
      <c r="A109" s="22" t="s">
        <v>40</v>
      </c>
      <c r="B109" s="22"/>
      <c r="C109" s="25"/>
      <c r="D109" s="25"/>
      <c r="E109" s="25"/>
      <c r="F109" s="25"/>
      <c r="G109" s="24"/>
      <c r="H109" s="36"/>
    </row>
    <row r="110" spans="1:8" ht="12.75" customHeight="1">
      <c r="A110" s="22">
        <v>43041</v>
      </c>
      <c r="B110" s="22"/>
      <c r="C110" s="26">
        <f>ROUND(10.815,5)</f>
        <v>10.815</v>
      </c>
      <c r="D110" s="26">
        <f>F110</f>
        <v>10.84634</v>
      </c>
      <c r="E110" s="26">
        <f>F110</f>
        <v>10.84634</v>
      </c>
      <c r="F110" s="26">
        <f>ROUND(10.84634,5)</f>
        <v>10.84634</v>
      </c>
      <c r="G110" s="24"/>
      <c r="H110" s="36"/>
    </row>
    <row r="111" spans="1:8" ht="12.75" customHeight="1">
      <c r="A111" s="22">
        <v>43132</v>
      </c>
      <c r="B111" s="22"/>
      <c r="C111" s="26">
        <f>ROUND(10.815,5)</f>
        <v>10.815</v>
      </c>
      <c r="D111" s="26">
        <f>F111</f>
        <v>10.95467</v>
      </c>
      <c r="E111" s="26">
        <f>F111</f>
        <v>10.95467</v>
      </c>
      <c r="F111" s="26">
        <f>ROUND(10.95467,5)</f>
        <v>10.95467</v>
      </c>
      <c r="G111" s="24"/>
      <c r="H111" s="36"/>
    </row>
    <row r="112" spans="1:8" ht="12.75" customHeight="1">
      <c r="A112" s="22">
        <v>43223</v>
      </c>
      <c r="B112" s="22"/>
      <c r="C112" s="26">
        <f>ROUND(10.815,5)</f>
        <v>10.815</v>
      </c>
      <c r="D112" s="26">
        <f>F112</f>
        <v>11.06086</v>
      </c>
      <c r="E112" s="26">
        <f>F112</f>
        <v>11.06086</v>
      </c>
      <c r="F112" s="26">
        <f>ROUND(11.06086,5)</f>
        <v>11.06086</v>
      </c>
      <c r="G112" s="24"/>
      <c r="H112" s="36"/>
    </row>
    <row r="113" spans="1:8" ht="12.75" customHeight="1">
      <c r="A113" s="22">
        <v>43314</v>
      </c>
      <c r="B113" s="22"/>
      <c r="C113" s="26">
        <f>ROUND(10.815,5)</f>
        <v>10.815</v>
      </c>
      <c r="D113" s="26">
        <f>F113</f>
        <v>11.16829</v>
      </c>
      <c r="E113" s="26">
        <f>F113</f>
        <v>11.16829</v>
      </c>
      <c r="F113" s="26">
        <f>ROUND(11.16829,5)</f>
        <v>11.16829</v>
      </c>
      <c r="G113" s="24"/>
      <c r="H113" s="36"/>
    </row>
    <row r="114" spans="1:8" ht="12.75" customHeight="1">
      <c r="A114" s="22">
        <v>43405</v>
      </c>
      <c r="B114" s="22"/>
      <c r="C114" s="26">
        <f>ROUND(10.815,5)</f>
        <v>10.815</v>
      </c>
      <c r="D114" s="26">
        <f>F114</f>
        <v>11.28018</v>
      </c>
      <c r="E114" s="26">
        <f>F114</f>
        <v>11.28018</v>
      </c>
      <c r="F114" s="26">
        <f>ROUND(11.28018,5)</f>
        <v>11.28018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43041</v>
      </c>
      <c r="B116" s="22"/>
      <c r="C116" s="26">
        <f>ROUND(11.06,5)</f>
        <v>11.06</v>
      </c>
      <c r="D116" s="26">
        <f>F116</f>
        <v>11.09004</v>
      </c>
      <c r="E116" s="26">
        <f>F116</f>
        <v>11.09004</v>
      </c>
      <c r="F116" s="26">
        <f>ROUND(11.09004,5)</f>
        <v>11.09004</v>
      </c>
      <c r="G116" s="24"/>
      <c r="H116" s="36"/>
    </row>
    <row r="117" spans="1:8" ht="12.75" customHeight="1">
      <c r="A117" s="22">
        <v>43132</v>
      </c>
      <c r="B117" s="22"/>
      <c r="C117" s="26">
        <f>ROUND(11.06,5)</f>
        <v>11.06</v>
      </c>
      <c r="D117" s="26">
        <f>F117</f>
        <v>11.19467</v>
      </c>
      <c r="E117" s="26">
        <f>F117</f>
        <v>11.19467</v>
      </c>
      <c r="F117" s="26">
        <f>ROUND(11.19467,5)</f>
        <v>11.19467</v>
      </c>
      <c r="G117" s="24"/>
      <c r="H117" s="36"/>
    </row>
    <row r="118" spans="1:8" ht="12.75" customHeight="1">
      <c r="A118" s="22">
        <v>43223</v>
      </c>
      <c r="B118" s="22"/>
      <c r="C118" s="26">
        <f>ROUND(11.06,5)</f>
        <v>11.06</v>
      </c>
      <c r="D118" s="26">
        <f>F118</f>
        <v>11.30236</v>
      </c>
      <c r="E118" s="26">
        <f>F118</f>
        <v>11.30236</v>
      </c>
      <c r="F118" s="26">
        <f>ROUND(11.30236,5)</f>
        <v>11.30236</v>
      </c>
      <c r="G118" s="24"/>
      <c r="H118" s="36"/>
    </row>
    <row r="119" spans="1:8" ht="12.75" customHeight="1">
      <c r="A119" s="22">
        <v>43314</v>
      </c>
      <c r="B119" s="22"/>
      <c r="C119" s="26">
        <f>ROUND(11.06,5)</f>
        <v>11.06</v>
      </c>
      <c r="D119" s="26">
        <f>F119</f>
        <v>11.40935</v>
      </c>
      <c r="E119" s="26">
        <f>F119</f>
        <v>11.40935</v>
      </c>
      <c r="F119" s="26">
        <f>ROUND(11.40935,5)</f>
        <v>11.40935</v>
      </c>
      <c r="G119" s="24"/>
      <c r="H119" s="36"/>
    </row>
    <row r="120" spans="1:8" ht="12.75" customHeight="1">
      <c r="A120" s="22">
        <v>43405</v>
      </c>
      <c r="B120" s="22"/>
      <c r="C120" s="26">
        <f>ROUND(11.06,5)</f>
        <v>11.06</v>
      </c>
      <c r="D120" s="26">
        <f>F120</f>
        <v>11.51995</v>
      </c>
      <c r="E120" s="26">
        <f>F120</f>
        <v>11.51995</v>
      </c>
      <c r="F120" s="26">
        <f>ROUND(11.51995,5)</f>
        <v>11.51995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43041</v>
      </c>
      <c r="B122" s="22"/>
      <c r="C122" s="26">
        <f>ROUND(8.055,5)</f>
        <v>8.055</v>
      </c>
      <c r="D122" s="26">
        <f>F122</f>
        <v>8.0676</v>
      </c>
      <c r="E122" s="26">
        <f>F122</f>
        <v>8.0676</v>
      </c>
      <c r="F122" s="26">
        <f>ROUND(8.0676,5)</f>
        <v>8.0676</v>
      </c>
      <c r="G122" s="24"/>
      <c r="H122" s="36"/>
    </row>
    <row r="123" spans="1:8" ht="12.75" customHeight="1">
      <c r="A123" s="22">
        <v>43132</v>
      </c>
      <c r="B123" s="22"/>
      <c r="C123" s="26">
        <f>ROUND(8.055,5)</f>
        <v>8.055</v>
      </c>
      <c r="D123" s="26">
        <f>F123</f>
        <v>8.10984</v>
      </c>
      <c r="E123" s="26">
        <f>F123</f>
        <v>8.10984</v>
      </c>
      <c r="F123" s="26">
        <f>ROUND(8.10984,5)</f>
        <v>8.10984</v>
      </c>
      <c r="G123" s="24"/>
      <c r="H123" s="36"/>
    </row>
    <row r="124" spans="1:8" ht="12.75" customHeight="1">
      <c r="A124" s="22">
        <v>43223</v>
      </c>
      <c r="B124" s="22"/>
      <c r="C124" s="26">
        <f>ROUND(8.055,5)</f>
        <v>8.055</v>
      </c>
      <c r="D124" s="26">
        <f>F124</f>
        <v>8.14406</v>
      </c>
      <c r="E124" s="26">
        <f>F124</f>
        <v>8.14406</v>
      </c>
      <c r="F124" s="26">
        <f>ROUND(8.14406,5)</f>
        <v>8.14406</v>
      </c>
      <c r="G124" s="24"/>
      <c r="H124" s="36"/>
    </row>
    <row r="125" spans="1:8" ht="12.75" customHeight="1">
      <c r="A125" s="22">
        <v>43314</v>
      </c>
      <c r="B125" s="22"/>
      <c r="C125" s="26">
        <f>ROUND(8.055,5)</f>
        <v>8.055</v>
      </c>
      <c r="D125" s="26">
        <f>F125</f>
        <v>8.17768</v>
      </c>
      <c r="E125" s="26">
        <f>F125</f>
        <v>8.17768</v>
      </c>
      <c r="F125" s="26">
        <f>ROUND(8.17768,5)</f>
        <v>8.17768</v>
      </c>
      <c r="G125" s="24"/>
      <c r="H125" s="36"/>
    </row>
    <row r="126" spans="1:8" ht="12.75" customHeight="1">
      <c r="A126" s="22">
        <v>43405</v>
      </c>
      <c r="B126" s="22"/>
      <c r="C126" s="26">
        <f>ROUND(8.055,5)</f>
        <v>8.055</v>
      </c>
      <c r="D126" s="26">
        <f>F126</f>
        <v>8.21529</v>
      </c>
      <c r="E126" s="26">
        <f>F126</f>
        <v>8.21529</v>
      </c>
      <c r="F126" s="26">
        <f>ROUND(8.21529,5)</f>
        <v>8.21529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43041</v>
      </c>
      <c r="B128" s="22"/>
      <c r="C128" s="26">
        <f>ROUND(9.655,5)</f>
        <v>9.655</v>
      </c>
      <c r="D128" s="26">
        <f>F128</f>
        <v>9.67511</v>
      </c>
      <c r="E128" s="26">
        <f>F128</f>
        <v>9.67511</v>
      </c>
      <c r="F128" s="26">
        <f>ROUND(9.67511,5)</f>
        <v>9.67511</v>
      </c>
      <c r="G128" s="24"/>
      <c r="H128" s="36"/>
    </row>
    <row r="129" spans="1:8" ht="12.75" customHeight="1">
      <c r="A129" s="22">
        <v>43132</v>
      </c>
      <c r="B129" s="22"/>
      <c r="C129" s="26">
        <f>ROUND(9.655,5)</f>
        <v>9.655</v>
      </c>
      <c r="D129" s="26">
        <f>F129</f>
        <v>9.74388</v>
      </c>
      <c r="E129" s="26">
        <f>F129</f>
        <v>9.74388</v>
      </c>
      <c r="F129" s="26">
        <f>ROUND(9.74388,5)</f>
        <v>9.74388</v>
      </c>
      <c r="G129" s="24"/>
      <c r="H129" s="36"/>
    </row>
    <row r="130" spans="1:8" ht="12.75" customHeight="1">
      <c r="A130" s="22">
        <v>43223</v>
      </c>
      <c r="B130" s="22"/>
      <c r="C130" s="26">
        <f>ROUND(9.655,5)</f>
        <v>9.655</v>
      </c>
      <c r="D130" s="26">
        <f>F130</f>
        <v>9.80815</v>
      </c>
      <c r="E130" s="26">
        <f>F130</f>
        <v>9.80815</v>
      </c>
      <c r="F130" s="26">
        <f>ROUND(9.80815,5)</f>
        <v>9.80815</v>
      </c>
      <c r="G130" s="24"/>
      <c r="H130" s="36"/>
    </row>
    <row r="131" spans="1:8" ht="12.75" customHeight="1">
      <c r="A131" s="22">
        <v>43314</v>
      </c>
      <c r="B131" s="22"/>
      <c r="C131" s="26">
        <f>ROUND(9.655,5)</f>
        <v>9.655</v>
      </c>
      <c r="D131" s="26">
        <f>F131</f>
        <v>9.8733</v>
      </c>
      <c r="E131" s="26">
        <f>F131</f>
        <v>9.8733</v>
      </c>
      <c r="F131" s="26">
        <f>ROUND(9.8733,5)</f>
        <v>9.8733</v>
      </c>
      <c r="G131" s="24"/>
      <c r="H131" s="36"/>
    </row>
    <row r="132" spans="1:8" ht="12.75" customHeight="1">
      <c r="A132" s="22">
        <v>43405</v>
      </c>
      <c r="B132" s="22"/>
      <c r="C132" s="26">
        <f>ROUND(9.655,5)</f>
        <v>9.655</v>
      </c>
      <c r="D132" s="26">
        <f>F132</f>
        <v>9.94105</v>
      </c>
      <c r="E132" s="26">
        <f>F132</f>
        <v>9.94105</v>
      </c>
      <c r="F132" s="26">
        <f>ROUND(9.94105,5)</f>
        <v>9.94105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43041</v>
      </c>
      <c r="B134" s="22"/>
      <c r="C134" s="26">
        <f>ROUND(8.7,5)</f>
        <v>8.7</v>
      </c>
      <c r="D134" s="26">
        <f>F134</f>
        <v>8.71596</v>
      </c>
      <c r="E134" s="26">
        <f>F134</f>
        <v>8.71596</v>
      </c>
      <c r="F134" s="26">
        <f>ROUND(8.71596,5)</f>
        <v>8.71596</v>
      </c>
      <c r="G134" s="24"/>
      <c r="H134" s="36"/>
    </row>
    <row r="135" spans="1:8" ht="12.75" customHeight="1">
      <c r="A135" s="22">
        <v>43132</v>
      </c>
      <c r="B135" s="22"/>
      <c r="C135" s="26">
        <f>ROUND(8.7,5)</f>
        <v>8.7</v>
      </c>
      <c r="D135" s="26">
        <f>F135</f>
        <v>8.76999</v>
      </c>
      <c r="E135" s="26">
        <f>F135</f>
        <v>8.76999</v>
      </c>
      <c r="F135" s="26">
        <f>ROUND(8.76999,5)</f>
        <v>8.76999</v>
      </c>
      <c r="G135" s="24"/>
      <c r="H135" s="36"/>
    </row>
    <row r="136" spans="1:8" ht="12.75" customHeight="1">
      <c r="A136" s="22">
        <v>43223</v>
      </c>
      <c r="B136" s="22"/>
      <c r="C136" s="26">
        <f>ROUND(8.7,5)</f>
        <v>8.7</v>
      </c>
      <c r="D136" s="26">
        <f>F136</f>
        <v>8.82452</v>
      </c>
      <c r="E136" s="26">
        <f>F136</f>
        <v>8.82452</v>
      </c>
      <c r="F136" s="26">
        <f>ROUND(8.82452,5)</f>
        <v>8.82452</v>
      </c>
      <c r="G136" s="24"/>
      <c r="H136" s="36"/>
    </row>
    <row r="137" spans="1:8" ht="12.75" customHeight="1">
      <c r="A137" s="22">
        <v>43314</v>
      </c>
      <c r="B137" s="22"/>
      <c r="C137" s="26">
        <f>ROUND(8.7,5)</f>
        <v>8.7</v>
      </c>
      <c r="D137" s="26">
        <f>F137</f>
        <v>8.8799</v>
      </c>
      <c r="E137" s="26">
        <f>F137</f>
        <v>8.8799</v>
      </c>
      <c r="F137" s="26">
        <f>ROUND(8.8799,5)</f>
        <v>8.8799</v>
      </c>
      <c r="G137" s="24"/>
      <c r="H137" s="36"/>
    </row>
    <row r="138" spans="1:8" ht="12.75" customHeight="1">
      <c r="A138" s="22">
        <v>43405</v>
      </c>
      <c r="B138" s="22"/>
      <c r="C138" s="26">
        <f>ROUND(8.7,5)</f>
        <v>8.7</v>
      </c>
      <c r="D138" s="26">
        <f>F138</f>
        <v>8.93356</v>
      </c>
      <c r="E138" s="26">
        <f>F138</f>
        <v>8.93356</v>
      </c>
      <c r="F138" s="26">
        <f>ROUND(8.93356,5)</f>
        <v>8.93356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43041</v>
      </c>
      <c r="B140" s="22"/>
      <c r="C140" s="26">
        <f>ROUND(2.36,5)</f>
        <v>2.36</v>
      </c>
      <c r="D140" s="26">
        <f>F140</f>
        <v>301.26902</v>
      </c>
      <c r="E140" s="26">
        <f>F140</f>
        <v>301.26902</v>
      </c>
      <c r="F140" s="26">
        <f>ROUND(301.26902,5)</f>
        <v>301.26902</v>
      </c>
      <c r="G140" s="24"/>
      <c r="H140" s="36"/>
    </row>
    <row r="141" spans="1:8" ht="12.75" customHeight="1">
      <c r="A141" s="22">
        <v>43132</v>
      </c>
      <c r="B141" s="22"/>
      <c r="C141" s="26">
        <f>ROUND(2.36,5)</f>
        <v>2.36</v>
      </c>
      <c r="D141" s="26">
        <f>F141</f>
        <v>299.92061</v>
      </c>
      <c r="E141" s="26">
        <f>F141</f>
        <v>299.92061</v>
      </c>
      <c r="F141" s="26">
        <f>ROUND(299.92061,5)</f>
        <v>299.92061</v>
      </c>
      <c r="G141" s="24"/>
      <c r="H141" s="36"/>
    </row>
    <row r="142" spans="1:8" ht="12.75" customHeight="1">
      <c r="A142" s="22">
        <v>43223</v>
      </c>
      <c r="B142" s="22"/>
      <c r="C142" s="26">
        <f>ROUND(2.36,5)</f>
        <v>2.36</v>
      </c>
      <c r="D142" s="26">
        <f>F142</f>
        <v>305.60842</v>
      </c>
      <c r="E142" s="26">
        <f>F142</f>
        <v>305.60842</v>
      </c>
      <c r="F142" s="26">
        <f>ROUND(305.60842,5)</f>
        <v>305.60842</v>
      </c>
      <c r="G142" s="24"/>
      <c r="H142" s="36"/>
    </row>
    <row r="143" spans="1:8" ht="12.75" customHeight="1">
      <c r="A143" s="22">
        <v>43314</v>
      </c>
      <c r="B143" s="22"/>
      <c r="C143" s="26">
        <f>ROUND(2.36,5)</f>
        <v>2.36</v>
      </c>
      <c r="D143" s="26">
        <f>F143</f>
        <v>311.42319</v>
      </c>
      <c r="E143" s="26">
        <f>F143</f>
        <v>311.42319</v>
      </c>
      <c r="F143" s="26">
        <f>ROUND(311.42319,5)</f>
        <v>311.42319</v>
      </c>
      <c r="G143" s="24"/>
      <c r="H143" s="36"/>
    </row>
    <row r="144" spans="1:8" ht="12.75" customHeight="1">
      <c r="A144" s="22">
        <v>43405</v>
      </c>
      <c r="B144" s="22"/>
      <c r="C144" s="26">
        <f>ROUND(2.36,5)</f>
        <v>2.36</v>
      </c>
      <c r="D144" s="26">
        <f>F144</f>
        <v>317.21513</v>
      </c>
      <c r="E144" s="26">
        <f>F144</f>
        <v>317.21513</v>
      </c>
      <c r="F144" s="26">
        <f>ROUND(317.21513,5)</f>
        <v>317.21513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43041</v>
      </c>
      <c r="B146" s="22"/>
      <c r="C146" s="26">
        <f>ROUND(2.49,5)</f>
        <v>2.49</v>
      </c>
      <c r="D146" s="26">
        <f>F146</f>
        <v>242.55459</v>
      </c>
      <c r="E146" s="26">
        <f>F146</f>
        <v>242.55459</v>
      </c>
      <c r="F146" s="26">
        <f>ROUND(242.55459,5)</f>
        <v>242.55459</v>
      </c>
      <c r="G146" s="24"/>
      <c r="H146" s="36"/>
    </row>
    <row r="147" spans="1:8" ht="12.75" customHeight="1">
      <c r="A147" s="22">
        <v>43132</v>
      </c>
      <c r="B147" s="22"/>
      <c r="C147" s="26">
        <f>ROUND(2.49,5)</f>
        <v>2.49</v>
      </c>
      <c r="D147" s="26">
        <f>F147</f>
        <v>243.38268</v>
      </c>
      <c r="E147" s="26">
        <f>F147</f>
        <v>243.38268</v>
      </c>
      <c r="F147" s="26">
        <f>ROUND(243.38268,5)</f>
        <v>243.38268</v>
      </c>
      <c r="G147" s="24"/>
      <c r="H147" s="36"/>
    </row>
    <row r="148" spans="1:8" ht="12.75" customHeight="1">
      <c r="A148" s="22">
        <v>43223</v>
      </c>
      <c r="B148" s="22"/>
      <c r="C148" s="26">
        <f>ROUND(2.49,5)</f>
        <v>2.49</v>
      </c>
      <c r="D148" s="26">
        <f>F148</f>
        <v>247.99832</v>
      </c>
      <c r="E148" s="26">
        <f>F148</f>
        <v>247.99832</v>
      </c>
      <c r="F148" s="26">
        <f>ROUND(247.99832,5)</f>
        <v>247.99832</v>
      </c>
      <c r="G148" s="24"/>
      <c r="H148" s="36"/>
    </row>
    <row r="149" spans="1:8" ht="12.75" customHeight="1">
      <c r="A149" s="22">
        <v>43314</v>
      </c>
      <c r="B149" s="22"/>
      <c r="C149" s="26">
        <f>ROUND(2.49,5)</f>
        <v>2.49</v>
      </c>
      <c r="D149" s="26">
        <f>F149</f>
        <v>252.71708</v>
      </c>
      <c r="E149" s="26">
        <f>F149</f>
        <v>252.71708</v>
      </c>
      <c r="F149" s="26">
        <f>ROUND(252.71708,5)</f>
        <v>252.71708</v>
      </c>
      <c r="G149" s="24"/>
      <c r="H149" s="36"/>
    </row>
    <row r="150" spans="1:8" ht="12.75" customHeight="1">
      <c r="A150" s="22">
        <v>43405</v>
      </c>
      <c r="B150" s="22"/>
      <c r="C150" s="26">
        <f>ROUND(2.49,5)</f>
        <v>2.49</v>
      </c>
      <c r="D150" s="26">
        <f>F150</f>
        <v>257.41747</v>
      </c>
      <c r="E150" s="26">
        <f>F150</f>
        <v>257.41747</v>
      </c>
      <c r="F150" s="26">
        <f>ROUND(257.41747,5)</f>
        <v>257.41747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43041</v>
      </c>
      <c r="B152" s="22"/>
      <c r="C152" s="26">
        <f>ROUND(0,5)</f>
        <v>0</v>
      </c>
      <c r="D152" s="26">
        <f>F152</f>
        <v>1.03146</v>
      </c>
      <c r="E152" s="26">
        <f>F152</f>
        <v>1.03146</v>
      </c>
      <c r="F152" s="26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6">
        <f>ROUND(7.11,5)</f>
        <v>7.11</v>
      </c>
      <c r="D154" s="26">
        <f>F154</f>
        <v>7.09005</v>
      </c>
      <c r="E154" s="26">
        <f>F154</f>
        <v>7.09005</v>
      </c>
      <c r="F154" s="26">
        <f>ROUND(7.09005,5)</f>
        <v>7.09005</v>
      </c>
      <c r="G154" s="24"/>
      <c r="H154" s="36"/>
    </row>
    <row r="155" spans="1:8" ht="12.75" customHeight="1">
      <c r="A155" s="22">
        <v>43132</v>
      </c>
      <c r="B155" s="22"/>
      <c r="C155" s="26">
        <f>ROUND(7.11,5)</f>
        <v>7.11</v>
      </c>
      <c r="D155" s="26">
        <f>F155</f>
        <v>6.98718</v>
      </c>
      <c r="E155" s="26">
        <f>F155</f>
        <v>6.98718</v>
      </c>
      <c r="F155" s="26">
        <f>ROUND(6.98718,5)</f>
        <v>6.98718</v>
      </c>
      <c r="G155" s="24"/>
      <c r="H155" s="36"/>
    </row>
    <row r="156" spans="1:8" ht="12.75" customHeight="1">
      <c r="A156" s="22">
        <v>43223</v>
      </c>
      <c r="B156" s="22"/>
      <c r="C156" s="26">
        <f>ROUND(7.11,5)</f>
        <v>7.11</v>
      </c>
      <c r="D156" s="26">
        <f>F156</f>
        <v>6.77159</v>
      </c>
      <c r="E156" s="26">
        <f>F156</f>
        <v>6.77159</v>
      </c>
      <c r="F156" s="26">
        <f>ROUND(6.77159,5)</f>
        <v>6.77159</v>
      </c>
      <c r="G156" s="24"/>
      <c r="H156" s="36"/>
    </row>
    <row r="157" spans="1:8" ht="12.75" customHeight="1">
      <c r="A157" s="22">
        <v>43314</v>
      </c>
      <c r="B157" s="22"/>
      <c r="C157" s="26">
        <f>ROUND(7.11,5)</f>
        <v>7.11</v>
      </c>
      <c r="D157" s="26">
        <f>F157</f>
        <v>6.18991</v>
      </c>
      <c r="E157" s="26">
        <f>F157</f>
        <v>6.18991</v>
      </c>
      <c r="F157" s="26">
        <f>ROUND(6.18991,5)</f>
        <v>6.18991</v>
      </c>
      <c r="G157" s="24"/>
      <c r="H157" s="36"/>
    </row>
    <row r="158" spans="1:8" ht="12.75" customHeight="1">
      <c r="A158" s="22">
        <v>43405</v>
      </c>
      <c r="B158" s="22"/>
      <c r="C158" s="26">
        <f>ROUND(7.11,5)</f>
        <v>7.11</v>
      </c>
      <c r="D158" s="26">
        <f>F158</f>
        <v>3.30062</v>
      </c>
      <c r="E158" s="26">
        <f>F158</f>
        <v>3.30062</v>
      </c>
      <c r="F158" s="26">
        <f>ROUND(3.30062,5)</f>
        <v>3.30062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43041</v>
      </c>
      <c r="B160" s="22"/>
      <c r="C160" s="26">
        <f>ROUND(7.43,5)</f>
        <v>7.43</v>
      </c>
      <c r="D160" s="26">
        <f>F160</f>
        <v>7.42967</v>
      </c>
      <c r="E160" s="26">
        <f>F160</f>
        <v>7.42967</v>
      </c>
      <c r="F160" s="26">
        <f>ROUND(7.42967,5)</f>
        <v>7.42967</v>
      </c>
      <c r="G160" s="24"/>
      <c r="H160" s="36"/>
    </row>
    <row r="161" spans="1:8" ht="12.75" customHeight="1">
      <c r="A161" s="22">
        <v>43132</v>
      </c>
      <c r="B161" s="22"/>
      <c r="C161" s="26">
        <f>ROUND(7.43,5)</f>
        <v>7.43</v>
      </c>
      <c r="D161" s="26">
        <f>F161</f>
        <v>7.42427</v>
      </c>
      <c r="E161" s="26">
        <f>F161</f>
        <v>7.42427</v>
      </c>
      <c r="F161" s="26">
        <f>ROUND(7.42427,5)</f>
        <v>7.42427</v>
      </c>
      <c r="G161" s="24"/>
      <c r="H161" s="36"/>
    </row>
    <row r="162" spans="1:8" ht="12.75" customHeight="1">
      <c r="A162" s="22">
        <v>43223</v>
      </c>
      <c r="B162" s="22"/>
      <c r="C162" s="26">
        <f>ROUND(7.43,5)</f>
        <v>7.43</v>
      </c>
      <c r="D162" s="26">
        <f>F162</f>
        <v>7.41785</v>
      </c>
      <c r="E162" s="26">
        <f>F162</f>
        <v>7.41785</v>
      </c>
      <c r="F162" s="26">
        <f>ROUND(7.41785,5)</f>
        <v>7.41785</v>
      </c>
      <c r="G162" s="24"/>
      <c r="H162" s="36"/>
    </row>
    <row r="163" spans="1:8" ht="12.75" customHeight="1">
      <c r="A163" s="22">
        <v>43314</v>
      </c>
      <c r="B163" s="22"/>
      <c r="C163" s="26">
        <f>ROUND(7.43,5)</f>
        <v>7.43</v>
      </c>
      <c r="D163" s="26">
        <f>F163</f>
        <v>7.39663</v>
      </c>
      <c r="E163" s="26">
        <f>F163</f>
        <v>7.39663</v>
      </c>
      <c r="F163" s="26">
        <f>ROUND(7.39663,5)</f>
        <v>7.39663</v>
      </c>
      <c r="G163" s="24"/>
      <c r="H163" s="36"/>
    </row>
    <row r="164" spans="1:8" ht="12.75" customHeight="1">
      <c r="A164" s="22">
        <v>43405</v>
      </c>
      <c r="B164" s="22"/>
      <c r="C164" s="26">
        <f>ROUND(7.43,5)</f>
        <v>7.43</v>
      </c>
      <c r="D164" s="26">
        <f>F164</f>
        <v>7.32562</v>
      </c>
      <c r="E164" s="26">
        <f>F164</f>
        <v>7.32562</v>
      </c>
      <c r="F164" s="26">
        <f>ROUND(7.32562,5)</f>
        <v>7.32562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43041</v>
      </c>
      <c r="B166" s="22"/>
      <c r="C166" s="26">
        <f>ROUND(7.655,5)</f>
        <v>7.655</v>
      </c>
      <c r="D166" s="26">
        <f>F166</f>
        <v>7.66222</v>
      </c>
      <c r="E166" s="26">
        <f>F166</f>
        <v>7.66222</v>
      </c>
      <c r="F166" s="26">
        <f>ROUND(7.66222,5)</f>
        <v>7.66222</v>
      </c>
      <c r="G166" s="24"/>
      <c r="H166" s="36"/>
    </row>
    <row r="167" spans="1:8" ht="12.75" customHeight="1">
      <c r="A167" s="22">
        <v>43132</v>
      </c>
      <c r="B167" s="22"/>
      <c r="C167" s="26">
        <f>ROUND(7.655,5)</f>
        <v>7.655</v>
      </c>
      <c r="D167" s="26">
        <f>F167</f>
        <v>7.68413</v>
      </c>
      <c r="E167" s="26">
        <f>F167</f>
        <v>7.68413</v>
      </c>
      <c r="F167" s="26">
        <f>ROUND(7.68413,5)</f>
        <v>7.68413</v>
      </c>
      <c r="G167" s="24"/>
      <c r="H167" s="36"/>
    </row>
    <row r="168" spans="1:8" ht="12.75" customHeight="1">
      <c r="A168" s="22">
        <v>43223</v>
      </c>
      <c r="B168" s="22"/>
      <c r="C168" s="26">
        <f>ROUND(7.655,5)</f>
        <v>7.655</v>
      </c>
      <c r="D168" s="26">
        <f>F168</f>
        <v>7.69948</v>
      </c>
      <c r="E168" s="26">
        <f>F168</f>
        <v>7.69948</v>
      </c>
      <c r="F168" s="26">
        <f>ROUND(7.69948,5)</f>
        <v>7.69948</v>
      </c>
      <c r="G168" s="24"/>
      <c r="H168" s="36"/>
    </row>
    <row r="169" spans="1:8" ht="12.75" customHeight="1">
      <c r="A169" s="22">
        <v>43314</v>
      </c>
      <c r="B169" s="22"/>
      <c r="C169" s="26">
        <f>ROUND(7.655,5)</f>
        <v>7.655</v>
      </c>
      <c r="D169" s="26">
        <f>F169</f>
        <v>7.71119</v>
      </c>
      <c r="E169" s="26">
        <f>F169</f>
        <v>7.71119</v>
      </c>
      <c r="F169" s="26">
        <f>ROUND(7.71119,5)</f>
        <v>7.71119</v>
      </c>
      <c r="G169" s="24"/>
      <c r="H169" s="36"/>
    </row>
    <row r="170" spans="1:8" ht="12.75" customHeight="1">
      <c r="A170" s="22">
        <v>43405</v>
      </c>
      <c r="B170" s="22"/>
      <c r="C170" s="26">
        <f>ROUND(7.655,5)</f>
        <v>7.655</v>
      </c>
      <c r="D170" s="26">
        <f>F170</f>
        <v>7.71647</v>
      </c>
      <c r="E170" s="26">
        <f>F170</f>
        <v>7.71647</v>
      </c>
      <c r="F170" s="26">
        <f>ROUND(7.71647,5)</f>
        <v>7.71647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43041</v>
      </c>
      <c r="B172" s="22"/>
      <c r="C172" s="26">
        <f>ROUND(9.61,5)</f>
        <v>9.61</v>
      </c>
      <c r="D172" s="26">
        <f>F172</f>
        <v>9.62732</v>
      </c>
      <c r="E172" s="26">
        <f>F172</f>
        <v>9.62732</v>
      </c>
      <c r="F172" s="26">
        <f>ROUND(9.62732,5)</f>
        <v>9.62732</v>
      </c>
      <c r="G172" s="24"/>
      <c r="H172" s="36"/>
    </row>
    <row r="173" spans="1:8" ht="12.75" customHeight="1">
      <c r="A173" s="22">
        <v>43132</v>
      </c>
      <c r="B173" s="22"/>
      <c r="C173" s="26">
        <f>ROUND(9.61,5)</f>
        <v>9.61</v>
      </c>
      <c r="D173" s="26">
        <f>F173</f>
        <v>9.68625</v>
      </c>
      <c r="E173" s="26">
        <f>F173</f>
        <v>9.68625</v>
      </c>
      <c r="F173" s="26">
        <f>ROUND(9.68625,5)</f>
        <v>9.68625</v>
      </c>
      <c r="G173" s="24"/>
      <c r="H173" s="36"/>
    </row>
    <row r="174" spans="1:8" ht="12.75" customHeight="1">
      <c r="A174" s="22">
        <v>43223</v>
      </c>
      <c r="B174" s="22"/>
      <c r="C174" s="26">
        <f>ROUND(9.61,5)</f>
        <v>9.61</v>
      </c>
      <c r="D174" s="26">
        <f>F174</f>
        <v>9.74438</v>
      </c>
      <c r="E174" s="26">
        <f>F174</f>
        <v>9.74438</v>
      </c>
      <c r="F174" s="26">
        <f>ROUND(9.74438,5)</f>
        <v>9.74438</v>
      </c>
      <c r="G174" s="24"/>
      <c r="H174" s="36"/>
    </row>
    <row r="175" spans="1:8" ht="12.75" customHeight="1">
      <c r="A175" s="22">
        <v>43314</v>
      </c>
      <c r="B175" s="22"/>
      <c r="C175" s="26">
        <f>ROUND(9.61,5)</f>
        <v>9.61</v>
      </c>
      <c r="D175" s="26">
        <f>F175</f>
        <v>9.80242</v>
      </c>
      <c r="E175" s="26">
        <f>F175</f>
        <v>9.80242</v>
      </c>
      <c r="F175" s="26">
        <f>ROUND(9.80242,5)</f>
        <v>9.80242</v>
      </c>
      <c r="G175" s="24"/>
      <c r="H175" s="36"/>
    </row>
    <row r="176" spans="1:8" ht="12.75" customHeight="1">
      <c r="A176" s="22">
        <v>43405</v>
      </c>
      <c r="B176" s="22"/>
      <c r="C176" s="26">
        <f>ROUND(9.61,5)</f>
        <v>9.61</v>
      </c>
      <c r="D176" s="26">
        <f>F176</f>
        <v>9.86073</v>
      </c>
      <c r="E176" s="26">
        <f>F176</f>
        <v>9.86073</v>
      </c>
      <c r="F176" s="26">
        <f>ROUND(9.86073,5)</f>
        <v>9.86073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43041</v>
      </c>
      <c r="B178" s="22"/>
      <c r="C178" s="26">
        <f>ROUND(2.48,5)</f>
        <v>2.48</v>
      </c>
      <c r="D178" s="26">
        <f>F178</f>
        <v>185.42552</v>
      </c>
      <c r="E178" s="26">
        <f>F178</f>
        <v>185.42552</v>
      </c>
      <c r="F178" s="26">
        <f>ROUND(185.42552,5)</f>
        <v>185.42552</v>
      </c>
      <c r="G178" s="24"/>
      <c r="H178" s="36"/>
    </row>
    <row r="179" spans="1:8" ht="12.75" customHeight="1">
      <c r="A179" s="22">
        <v>43132</v>
      </c>
      <c r="B179" s="22"/>
      <c r="C179" s="26">
        <f>ROUND(2.48,5)</f>
        <v>2.48</v>
      </c>
      <c r="D179" s="26">
        <f>F179</f>
        <v>188.89481</v>
      </c>
      <c r="E179" s="26">
        <f>F179</f>
        <v>188.89481</v>
      </c>
      <c r="F179" s="26">
        <f>ROUND(188.89481,5)</f>
        <v>188.89481</v>
      </c>
      <c r="G179" s="24"/>
      <c r="H179" s="36"/>
    </row>
    <row r="180" spans="1:8" ht="12.75" customHeight="1">
      <c r="A180" s="22">
        <v>43223</v>
      </c>
      <c r="B180" s="22"/>
      <c r="C180" s="26">
        <f>ROUND(2.48,5)</f>
        <v>2.48</v>
      </c>
      <c r="D180" s="26">
        <f>F180</f>
        <v>190.05448</v>
      </c>
      <c r="E180" s="26">
        <f>F180</f>
        <v>190.05448</v>
      </c>
      <c r="F180" s="26">
        <f>ROUND(190.05448,5)</f>
        <v>190.05448</v>
      </c>
      <c r="G180" s="24"/>
      <c r="H180" s="36"/>
    </row>
    <row r="181" spans="1:8" ht="12.75" customHeight="1">
      <c r="A181" s="22">
        <v>43314</v>
      </c>
      <c r="B181" s="22"/>
      <c r="C181" s="26">
        <f>ROUND(2.48,5)</f>
        <v>2.48</v>
      </c>
      <c r="D181" s="26">
        <f>F181</f>
        <v>193.67044</v>
      </c>
      <c r="E181" s="26">
        <f>F181</f>
        <v>193.67044</v>
      </c>
      <c r="F181" s="26">
        <f>ROUND(193.67044,5)</f>
        <v>193.67044</v>
      </c>
      <c r="G181" s="24"/>
      <c r="H181" s="36"/>
    </row>
    <row r="182" spans="1:8" ht="12.75" customHeight="1">
      <c r="A182" s="22">
        <v>43405</v>
      </c>
      <c r="B182" s="22"/>
      <c r="C182" s="26">
        <f>ROUND(2.48,5)</f>
        <v>2.48</v>
      </c>
      <c r="D182" s="26">
        <f>F182</f>
        <v>197.27194</v>
      </c>
      <c r="E182" s="26">
        <f>F182</f>
        <v>197.27194</v>
      </c>
      <c r="F182" s="26">
        <f>ROUND(197.27194,5)</f>
        <v>197.27194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43041</v>
      </c>
      <c r="B184" s="22"/>
      <c r="C184" s="26">
        <f>ROUND(0,5)</f>
        <v>0</v>
      </c>
      <c r="D184" s="26">
        <f>F184</f>
        <v>141.66256</v>
      </c>
      <c r="E184" s="26">
        <f>F184</f>
        <v>141.66256</v>
      </c>
      <c r="F184" s="26">
        <f>ROUND(141.66256,5)</f>
        <v>141.66256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6">
        <f>ROUND(2.32,5)</f>
        <v>2.32</v>
      </c>
      <c r="D186" s="26">
        <f>F186</f>
        <v>151.20487</v>
      </c>
      <c r="E186" s="26">
        <f>F186</f>
        <v>151.20487</v>
      </c>
      <c r="F186" s="26">
        <f>ROUND(151.20487,5)</f>
        <v>151.20487</v>
      </c>
      <c r="G186" s="24"/>
      <c r="H186" s="36"/>
    </row>
    <row r="187" spans="1:8" ht="12.75" customHeight="1">
      <c r="A187" s="22">
        <v>43132</v>
      </c>
      <c r="B187" s="22"/>
      <c r="C187" s="26">
        <f>ROUND(2.32,5)</f>
        <v>2.32</v>
      </c>
      <c r="D187" s="26">
        <f>F187</f>
        <v>151.99564</v>
      </c>
      <c r="E187" s="26">
        <f>F187</f>
        <v>151.99564</v>
      </c>
      <c r="F187" s="26">
        <f>ROUND(151.99564,5)</f>
        <v>151.99564</v>
      </c>
      <c r="G187" s="24"/>
      <c r="H187" s="36"/>
    </row>
    <row r="188" spans="1:8" ht="12.75" customHeight="1">
      <c r="A188" s="22">
        <v>43223</v>
      </c>
      <c r="B188" s="22"/>
      <c r="C188" s="26">
        <f>ROUND(2.32,5)</f>
        <v>2.32</v>
      </c>
      <c r="D188" s="26">
        <f>F188</f>
        <v>154.87814</v>
      </c>
      <c r="E188" s="26">
        <f>F188</f>
        <v>154.87814</v>
      </c>
      <c r="F188" s="26">
        <f>ROUND(154.87814,5)</f>
        <v>154.87814</v>
      </c>
      <c r="G188" s="24"/>
      <c r="H188" s="36"/>
    </row>
    <row r="189" spans="1:8" ht="12.75" customHeight="1">
      <c r="A189" s="22">
        <v>43314</v>
      </c>
      <c r="B189" s="22"/>
      <c r="C189" s="26">
        <f>ROUND(2.32,5)</f>
        <v>2.32</v>
      </c>
      <c r="D189" s="26">
        <f>F189</f>
        <v>157.82495</v>
      </c>
      <c r="E189" s="26">
        <f>F189</f>
        <v>157.82495</v>
      </c>
      <c r="F189" s="26">
        <f>ROUND(157.82495,5)</f>
        <v>157.82495</v>
      </c>
      <c r="G189" s="24"/>
      <c r="H189" s="36"/>
    </row>
    <row r="190" spans="1:8" ht="12.75" customHeight="1">
      <c r="A190" s="22">
        <v>43405</v>
      </c>
      <c r="B190" s="22"/>
      <c r="C190" s="26">
        <f>ROUND(2.32,5)</f>
        <v>2.32</v>
      </c>
      <c r="D190" s="26">
        <f>F190</f>
        <v>160.76015</v>
      </c>
      <c r="E190" s="26">
        <f>F190</f>
        <v>160.76015</v>
      </c>
      <c r="F190" s="26">
        <f>ROUND(160.76015,5)</f>
        <v>160.76015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43041</v>
      </c>
      <c r="B192" s="22"/>
      <c r="C192" s="26">
        <f>ROUND(9.335,5)</f>
        <v>9.335</v>
      </c>
      <c r="D192" s="26">
        <f>F192</f>
        <v>9.35336</v>
      </c>
      <c r="E192" s="26">
        <f>F192</f>
        <v>9.35336</v>
      </c>
      <c r="F192" s="26">
        <f>ROUND(9.35336,5)</f>
        <v>9.35336</v>
      </c>
      <c r="G192" s="24"/>
      <c r="H192" s="36"/>
    </row>
    <row r="193" spans="1:8" ht="12.75" customHeight="1">
      <c r="A193" s="22">
        <v>43132</v>
      </c>
      <c r="B193" s="22"/>
      <c r="C193" s="26">
        <f>ROUND(9.335,5)</f>
        <v>9.335</v>
      </c>
      <c r="D193" s="26">
        <f>F193</f>
        <v>9.41599</v>
      </c>
      <c r="E193" s="26">
        <f>F193</f>
        <v>9.41599</v>
      </c>
      <c r="F193" s="26">
        <f>ROUND(9.41599,5)</f>
        <v>9.41599</v>
      </c>
      <c r="G193" s="24"/>
      <c r="H193" s="36"/>
    </row>
    <row r="194" spans="1:8" ht="12.75" customHeight="1">
      <c r="A194" s="22">
        <v>43223</v>
      </c>
      <c r="B194" s="22"/>
      <c r="C194" s="26">
        <f>ROUND(9.335,5)</f>
        <v>9.335</v>
      </c>
      <c r="D194" s="26">
        <f>F194</f>
        <v>9.47407</v>
      </c>
      <c r="E194" s="26">
        <f>F194</f>
        <v>9.47407</v>
      </c>
      <c r="F194" s="26">
        <f>ROUND(9.47407,5)</f>
        <v>9.47407</v>
      </c>
      <c r="G194" s="24"/>
      <c r="H194" s="36"/>
    </row>
    <row r="195" spans="1:8" ht="12.75" customHeight="1">
      <c r="A195" s="22">
        <v>43314</v>
      </c>
      <c r="B195" s="22"/>
      <c r="C195" s="26">
        <f>ROUND(9.335,5)</f>
        <v>9.335</v>
      </c>
      <c r="D195" s="26">
        <f>F195</f>
        <v>9.53285</v>
      </c>
      <c r="E195" s="26">
        <f>F195</f>
        <v>9.53285</v>
      </c>
      <c r="F195" s="26">
        <f>ROUND(9.53285,5)</f>
        <v>9.53285</v>
      </c>
      <c r="G195" s="24"/>
      <c r="H195" s="36"/>
    </row>
    <row r="196" spans="1:8" ht="12.75" customHeight="1">
      <c r="A196" s="22">
        <v>43405</v>
      </c>
      <c r="B196" s="22"/>
      <c r="C196" s="26">
        <f>ROUND(9.335,5)</f>
        <v>9.335</v>
      </c>
      <c r="D196" s="26">
        <f>F196</f>
        <v>9.59438</v>
      </c>
      <c r="E196" s="26">
        <f>F196</f>
        <v>9.59438</v>
      </c>
      <c r="F196" s="26">
        <f>ROUND(9.59438,5)</f>
        <v>9.59438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43041</v>
      </c>
      <c r="B198" s="22"/>
      <c r="C198" s="26">
        <f>ROUND(9.76,5)</f>
        <v>9.76</v>
      </c>
      <c r="D198" s="26">
        <f>F198</f>
        <v>9.77814</v>
      </c>
      <c r="E198" s="26">
        <f>F198</f>
        <v>9.77814</v>
      </c>
      <c r="F198" s="26">
        <f>ROUND(9.77814,5)</f>
        <v>9.77814</v>
      </c>
      <c r="G198" s="24"/>
      <c r="H198" s="36"/>
    </row>
    <row r="199" spans="1:8" ht="12.75" customHeight="1">
      <c r="A199" s="22">
        <v>43132</v>
      </c>
      <c r="B199" s="22"/>
      <c r="C199" s="26">
        <f>ROUND(9.76,5)</f>
        <v>9.76</v>
      </c>
      <c r="D199" s="26">
        <f>F199</f>
        <v>9.83992</v>
      </c>
      <c r="E199" s="26">
        <f>F199</f>
        <v>9.83992</v>
      </c>
      <c r="F199" s="26">
        <f>ROUND(9.83992,5)</f>
        <v>9.83992</v>
      </c>
      <c r="G199" s="24"/>
      <c r="H199" s="36"/>
    </row>
    <row r="200" spans="1:8" ht="12.75" customHeight="1">
      <c r="A200" s="22">
        <v>43223</v>
      </c>
      <c r="B200" s="22"/>
      <c r="C200" s="26">
        <f>ROUND(9.76,5)</f>
        <v>9.76</v>
      </c>
      <c r="D200" s="26">
        <f>F200</f>
        <v>9.89749</v>
      </c>
      <c r="E200" s="26">
        <f>F200</f>
        <v>9.89749</v>
      </c>
      <c r="F200" s="26">
        <f>ROUND(9.89749,5)</f>
        <v>9.89749</v>
      </c>
      <c r="G200" s="24"/>
      <c r="H200" s="36"/>
    </row>
    <row r="201" spans="1:8" ht="12.75" customHeight="1">
      <c r="A201" s="22">
        <v>43314</v>
      </c>
      <c r="B201" s="22"/>
      <c r="C201" s="26">
        <f>ROUND(9.76,5)</f>
        <v>9.76</v>
      </c>
      <c r="D201" s="26">
        <f>F201</f>
        <v>9.95549</v>
      </c>
      <c r="E201" s="26">
        <f>F201</f>
        <v>9.95549</v>
      </c>
      <c r="F201" s="26">
        <f>ROUND(9.95549,5)</f>
        <v>9.95549</v>
      </c>
      <c r="G201" s="24"/>
      <c r="H201" s="36"/>
    </row>
    <row r="202" spans="1:8" ht="12.75" customHeight="1">
      <c r="A202" s="22">
        <v>43405</v>
      </c>
      <c r="B202" s="22"/>
      <c r="C202" s="26">
        <f>ROUND(9.76,5)</f>
        <v>9.76</v>
      </c>
      <c r="D202" s="26">
        <f>F202</f>
        <v>10.0154</v>
      </c>
      <c r="E202" s="26">
        <f>F202</f>
        <v>10.0154</v>
      </c>
      <c r="F202" s="26">
        <f>ROUND(10.0154,5)</f>
        <v>10.0154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43041</v>
      </c>
      <c r="B204" s="22"/>
      <c r="C204" s="26">
        <f>ROUND(9.825,5)</f>
        <v>9.825</v>
      </c>
      <c r="D204" s="26">
        <f>F204</f>
        <v>9.84375</v>
      </c>
      <c r="E204" s="26">
        <f>F204</f>
        <v>9.84375</v>
      </c>
      <c r="F204" s="26">
        <f>ROUND(9.84375,5)</f>
        <v>9.84375</v>
      </c>
      <c r="G204" s="24"/>
      <c r="H204" s="36"/>
    </row>
    <row r="205" spans="1:8" ht="12.75" customHeight="1">
      <c r="A205" s="22">
        <v>43132</v>
      </c>
      <c r="B205" s="22"/>
      <c r="C205" s="26">
        <f>ROUND(9.825,5)</f>
        <v>9.825</v>
      </c>
      <c r="D205" s="26">
        <f>F205</f>
        <v>9.90772</v>
      </c>
      <c r="E205" s="26">
        <f>F205</f>
        <v>9.90772</v>
      </c>
      <c r="F205" s="26">
        <f>ROUND(9.90772,5)</f>
        <v>9.90772</v>
      </c>
      <c r="G205" s="24"/>
      <c r="H205" s="36"/>
    </row>
    <row r="206" spans="1:8" ht="12.75" customHeight="1">
      <c r="A206" s="22">
        <v>43223</v>
      </c>
      <c r="B206" s="22"/>
      <c r="C206" s="26">
        <f>ROUND(9.825,5)</f>
        <v>9.825</v>
      </c>
      <c r="D206" s="26">
        <f>F206</f>
        <v>9.96742</v>
      </c>
      <c r="E206" s="26">
        <f>F206</f>
        <v>9.96742</v>
      </c>
      <c r="F206" s="26">
        <f>ROUND(9.96742,5)</f>
        <v>9.96742</v>
      </c>
      <c r="G206" s="24"/>
      <c r="H206" s="36"/>
    </row>
    <row r="207" spans="1:8" ht="12.75" customHeight="1">
      <c r="A207" s="22">
        <v>43314</v>
      </c>
      <c r="B207" s="22"/>
      <c r="C207" s="26">
        <f>ROUND(9.825,5)</f>
        <v>9.825</v>
      </c>
      <c r="D207" s="26">
        <f>F207</f>
        <v>10.02767</v>
      </c>
      <c r="E207" s="26">
        <f>F207</f>
        <v>10.02767</v>
      </c>
      <c r="F207" s="26">
        <f>ROUND(10.02767,5)</f>
        <v>10.02767</v>
      </c>
      <c r="G207" s="24"/>
      <c r="H207" s="36"/>
    </row>
    <row r="208" spans="1:8" ht="12.75" customHeight="1">
      <c r="A208" s="22">
        <v>43405</v>
      </c>
      <c r="B208" s="22"/>
      <c r="C208" s="26">
        <f>ROUND(9.825,5)</f>
        <v>9.825</v>
      </c>
      <c r="D208" s="26">
        <f>F208</f>
        <v>10.08987</v>
      </c>
      <c r="E208" s="26">
        <f>F208</f>
        <v>10.08987</v>
      </c>
      <c r="F208" s="26">
        <f>ROUND(10.08987,5)</f>
        <v>10.08987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43096</v>
      </c>
      <c r="B210" s="22"/>
      <c r="C210" s="25">
        <f>ROUND(10.664981125,4)</f>
        <v>10.665</v>
      </c>
      <c r="D210" s="25">
        <f>F210</f>
        <v>10.7904</v>
      </c>
      <c r="E210" s="25">
        <f>F210</f>
        <v>10.7904</v>
      </c>
      <c r="F210" s="25">
        <f>ROUND(10.7904,4)</f>
        <v>10.7904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43019</v>
      </c>
      <c r="B212" s="22"/>
      <c r="C212" s="25">
        <f>ROUND(16.12188645,4)</f>
        <v>16.1219</v>
      </c>
      <c r="D212" s="25">
        <f>F212</f>
        <v>16.1253</v>
      </c>
      <c r="E212" s="25">
        <f>F212</f>
        <v>16.1253</v>
      </c>
      <c r="F212" s="25">
        <f>ROUND(16.1253,4)</f>
        <v>16.1253</v>
      </c>
      <c r="G212" s="24"/>
      <c r="H212" s="36"/>
    </row>
    <row r="213" spans="1:8" ht="12.75" customHeight="1">
      <c r="A213" s="22">
        <v>43035</v>
      </c>
      <c r="B213" s="22"/>
      <c r="C213" s="25">
        <f>ROUND(16.12188645,4)</f>
        <v>16.1219</v>
      </c>
      <c r="D213" s="25">
        <f>F213</f>
        <v>16.1756</v>
      </c>
      <c r="E213" s="25">
        <f>F213</f>
        <v>16.1756</v>
      </c>
      <c r="F213" s="25">
        <f>ROUND(16.1756,4)</f>
        <v>16.1756</v>
      </c>
      <c r="G213" s="24"/>
      <c r="H213" s="36"/>
    </row>
    <row r="214" spans="1:8" ht="12.75" customHeight="1">
      <c r="A214" s="22">
        <v>43054</v>
      </c>
      <c r="B214" s="22"/>
      <c r="C214" s="25">
        <f>ROUND(16.12188645,4)</f>
        <v>16.1219</v>
      </c>
      <c r="D214" s="25">
        <f>F214</f>
        <v>16.2376</v>
      </c>
      <c r="E214" s="25">
        <f>F214</f>
        <v>16.2376</v>
      </c>
      <c r="F214" s="25">
        <f>ROUND(16.2376,4)</f>
        <v>16.2376</v>
      </c>
      <c r="G214" s="24"/>
      <c r="H214" s="36"/>
    </row>
    <row r="215" spans="1:8" ht="12.75" customHeight="1">
      <c r="A215" s="22">
        <v>43067</v>
      </c>
      <c r="B215" s="22"/>
      <c r="C215" s="25">
        <f>ROUND(16.12188645,4)</f>
        <v>16.1219</v>
      </c>
      <c r="D215" s="25">
        <f>F215</f>
        <v>16.2876</v>
      </c>
      <c r="E215" s="25">
        <f>F215</f>
        <v>16.2876</v>
      </c>
      <c r="F215" s="25">
        <f>ROUND(16.2876,4)</f>
        <v>16.2876</v>
      </c>
      <c r="G215" s="24"/>
      <c r="H215" s="36"/>
    </row>
    <row r="216" spans="1:8" ht="12.75" customHeight="1">
      <c r="A216" s="22">
        <v>43096</v>
      </c>
      <c r="B216" s="22"/>
      <c r="C216" s="25">
        <f>ROUND(16.12188645,4)</f>
        <v>16.1219</v>
      </c>
      <c r="D216" s="25">
        <f>F216</f>
        <v>16.3959</v>
      </c>
      <c r="E216" s="25">
        <f>F216</f>
        <v>16.3959</v>
      </c>
      <c r="F216" s="25">
        <f>ROUND(16.3959,4)</f>
        <v>16.3959</v>
      </c>
      <c r="G216" s="24"/>
      <c r="H216" s="36"/>
    </row>
    <row r="217" spans="1:8" ht="12.75" customHeight="1">
      <c r="A217" s="22">
        <v>43131</v>
      </c>
      <c r="B217" s="22"/>
      <c r="C217" s="25">
        <f>ROUND(16.12188645,4)</f>
        <v>16.1219</v>
      </c>
      <c r="D217" s="25">
        <f>F217</f>
        <v>16.5214</v>
      </c>
      <c r="E217" s="25">
        <f>F217</f>
        <v>16.5214</v>
      </c>
      <c r="F217" s="25">
        <f>ROUND(16.5214,4)</f>
        <v>16.5214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43039</v>
      </c>
      <c r="B219" s="22"/>
      <c r="C219" s="25">
        <f>ROUND(17.9370197,4)</f>
        <v>17.937</v>
      </c>
      <c r="D219" s="25">
        <f>F219</f>
        <v>18.0049</v>
      </c>
      <c r="E219" s="25">
        <f>F219</f>
        <v>18.0049</v>
      </c>
      <c r="F219" s="25">
        <f>ROUND(18.0049,4)</f>
        <v>18.0049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43014</v>
      </c>
      <c r="B221" s="22"/>
      <c r="C221" s="25">
        <f>ROUND(13.738,4)</f>
        <v>13.738</v>
      </c>
      <c r="D221" s="25">
        <f>F221</f>
        <v>13.7853</v>
      </c>
      <c r="E221" s="25">
        <f>F221</f>
        <v>13.7853</v>
      </c>
      <c r="F221" s="25">
        <f>ROUND(13.7853,4)</f>
        <v>13.7853</v>
      </c>
      <c r="G221" s="24"/>
      <c r="H221" s="36"/>
    </row>
    <row r="222" spans="1:8" ht="12.75" customHeight="1">
      <c r="A222" s="22">
        <v>43018</v>
      </c>
      <c r="B222" s="22"/>
      <c r="C222" s="25">
        <f>ROUND(13.738,4)</f>
        <v>13.738</v>
      </c>
      <c r="D222" s="25">
        <f>F222</f>
        <v>13.7402</v>
      </c>
      <c r="E222" s="25">
        <f>F222</f>
        <v>13.7402</v>
      </c>
      <c r="F222" s="25">
        <f>ROUND(13.7402,4)</f>
        <v>13.7402</v>
      </c>
      <c r="G222" s="24"/>
      <c r="H222" s="36"/>
    </row>
    <row r="223" spans="1:8" ht="12.75" customHeight="1">
      <c r="A223" s="22">
        <v>43021</v>
      </c>
      <c r="B223" s="22"/>
      <c r="C223" s="25">
        <f>ROUND(13.738,4)</f>
        <v>13.738</v>
      </c>
      <c r="D223" s="25">
        <f>F223</f>
        <v>13.7425</v>
      </c>
      <c r="E223" s="25">
        <f>F223</f>
        <v>13.7425</v>
      </c>
      <c r="F223" s="25">
        <f>ROUND(13.7425,4)</f>
        <v>13.7425</v>
      </c>
      <c r="G223" s="24"/>
      <c r="H223" s="36"/>
    </row>
    <row r="224" spans="1:8" ht="12.75" customHeight="1">
      <c r="A224" s="22">
        <v>43024</v>
      </c>
      <c r="B224" s="22"/>
      <c r="C224" s="25">
        <f>ROUND(13.738,4)</f>
        <v>13.738</v>
      </c>
      <c r="D224" s="25">
        <f>F224</f>
        <v>13.7492</v>
      </c>
      <c r="E224" s="25">
        <f>F224</f>
        <v>13.7492</v>
      </c>
      <c r="F224" s="25">
        <f>ROUND(13.7492,4)</f>
        <v>13.7492</v>
      </c>
      <c r="G224" s="24"/>
      <c r="H224" s="36"/>
    </row>
    <row r="225" spans="1:8" ht="12.75" customHeight="1">
      <c r="A225" s="22">
        <v>43028</v>
      </c>
      <c r="B225" s="22"/>
      <c r="C225" s="25">
        <f>ROUND(13.738,4)</f>
        <v>13.738</v>
      </c>
      <c r="D225" s="25">
        <f>F225</f>
        <v>13.7579</v>
      </c>
      <c r="E225" s="25">
        <f>F225</f>
        <v>13.7579</v>
      </c>
      <c r="F225" s="25">
        <f>ROUND(13.7579,4)</f>
        <v>13.7579</v>
      </c>
      <c r="G225" s="24"/>
      <c r="H225" s="36"/>
    </row>
    <row r="226" spans="1:8" ht="12.75" customHeight="1">
      <c r="A226" s="22">
        <v>43031</v>
      </c>
      <c r="B226" s="22"/>
      <c r="C226" s="25">
        <f>ROUND(13.738,4)</f>
        <v>13.738</v>
      </c>
      <c r="D226" s="25">
        <f>F226</f>
        <v>13.7642</v>
      </c>
      <c r="E226" s="25">
        <f>F226</f>
        <v>13.7642</v>
      </c>
      <c r="F226" s="25">
        <f>ROUND(13.7642,4)</f>
        <v>13.7642</v>
      </c>
      <c r="G226" s="24"/>
      <c r="H226" s="36"/>
    </row>
    <row r="227" spans="1:8" ht="12.75" customHeight="1">
      <c r="A227" s="22">
        <v>43035</v>
      </c>
      <c r="B227" s="22"/>
      <c r="C227" s="25">
        <f>ROUND(13.738,4)</f>
        <v>13.738</v>
      </c>
      <c r="D227" s="25">
        <f>F227</f>
        <v>13.7725</v>
      </c>
      <c r="E227" s="25">
        <f>F227</f>
        <v>13.7725</v>
      </c>
      <c r="F227" s="25">
        <f>ROUND(13.7725,4)</f>
        <v>13.7725</v>
      </c>
      <c r="G227" s="24"/>
      <c r="H227" s="36"/>
    </row>
    <row r="228" spans="1:8" ht="12.75" customHeight="1">
      <c r="A228" s="22">
        <v>43042</v>
      </c>
      <c r="B228" s="22"/>
      <c r="C228" s="25">
        <f>ROUND(13.738,4)</f>
        <v>13.738</v>
      </c>
      <c r="D228" s="25">
        <f>F228</f>
        <v>13.7871</v>
      </c>
      <c r="E228" s="25">
        <f>F228</f>
        <v>13.7871</v>
      </c>
      <c r="F228" s="25">
        <f>ROUND(13.7871,4)</f>
        <v>13.7871</v>
      </c>
      <c r="G228" s="24"/>
      <c r="H228" s="36"/>
    </row>
    <row r="229" spans="1:8" ht="12.75" customHeight="1">
      <c r="A229" s="22">
        <v>43045</v>
      </c>
      <c r="B229" s="22"/>
      <c r="C229" s="25">
        <f>ROUND(13.738,4)</f>
        <v>13.738</v>
      </c>
      <c r="D229" s="25">
        <f>F229</f>
        <v>13.7933</v>
      </c>
      <c r="E229" s="25">
        <f>F229</f>
        <v>13.7933</v>
      </c>
      <c r="F229" s="25">
        <f>ROUND(13.7933,4)</f>
        <v>13.7933</v>
      </c>
      <c r="G229" s="24"/>
      <c r="H229" s="36"/>
    </row>
    <row r="230" spans="1:8" ht="12.75" customHeight="1">
      <c r="A230" s="22">
        <v>43048</v>
      </c>
      <c r="B230" s="22"/>
      <c r="C230" s="25">
        <f>ROUND(13.738,4)</f>
        <v>13.738</v>
      </c>
      <c r="D230" s="25">
        <f>F230</f>
        <v>13.7996</v>
      </c>
      <c r="E230" s="25">
        <f>F230</f>
        <v>13.7996</v>
      </c>
      <c r="F230" s="25">
        <f>ROUND(13.7996,4)</f>
        <v>13.7996</v>
      </c>
      <c r="G230" s="24"/>
      <c r="H230" s="36"/>
    </row>
    <row r="231" spans="1:8" ht="12.75" customHeight="1">
      <c r="A231" s="22">
        <v>43052</v>
      </c>
      <c r="B231" s="22"/>
      <c r="C231" s="25">
        <f>ROUND(13.738,4)</f>
        <v>13.738</v>
      </c>
      <c r="D231" s="25">
        <f>F231</f>
        <v>13.8079</v>
      </c>
      <c r="E231" s="25">
        <f>F231</f>
        <v>13.8079</v>
      </c>
      <c r="F231" s="25">
        <f>ROUND(13.8079,4)</f>
        <v>13.8079</v>
      </c>
      <c r="G231" s="24"/>
      <c r="H231" s="36"/>
    </row>
    <row r="232" spans="1:8" ht="12.75" customHeight="1">
      <c r="A232" s="22">
        <v>43055</v>
      </c>
      <c r="B232" s="22"/>
      <c r="C232" s="25">
        <f>ROUND(13.738,4)</f>
        <v>13.738</v>
      </c>
      <c r="D232" s="25">
        <f>F232</f>
        <v>13.8153</v>
      </c>
      <c r="E232" s="25">
        <f>F232</f>
        <v>13.8153</v>
      </c>
      <c r="F232" s="25">
        <f>ROUND(13.8153,4)</f>
        <v>13.8153</v>
      </c>
      <c r="G232" s="24"/>
      <c r="H232" s="36"/>
    </row>
    <row r="233" spans="1:8" ht="12.75" customHeight="1">
      <c r="A233" s="22">
        <v>43056</v>
      </c>
      <c r="B233" s="22"/>
      <c r="C233" s="25">
        <f>ROUND(13.738,4)</f>
        <v>13.738</v>
      </c>
      <c r="D233" s="25">
        <f>F233</f>
        <v>13.8178</v>
      </c>
      <c r="E233" s="25">
        <f>F233</f>
        <v>13.8178</v>
      </c>
      <c r="F233" s="25">
        <f>ROUND(13.8178,4)</f>
        <v>13.8178</v>
      </c>
      <c r="G233" s="24"/>
      <c r="H233" s="36"/>
    </row>
    <row r="234" spans="1:8" ht="12.75" customHeight="1">
      <c r="A234" s="22">
        <v>43067</v>
      </c>
      <c r="B234" s="22"/>
      <c r="C234" s="25">
        <f>ROUND(13.738,4)</f>
        <v>13.738</v>
      </c>
      <c r="D234" s="25">
        <f>F234</f>
        <v>13.8451</v>
      </c>
      <c r="E234" s="25">
        <f>F234</f>
        <v>13.8451</v>
      </c>
      <c r="F234" s="25">
        <f>ROUND(13.8451,4)</f>
        <v>13.8451</v>
      </c>
      <c r="G234" s="24"/>
      <c r="H234" s="36"/>
    </row>
    <row r="235" spans="1:8" ht="12.75" customHeight="1">
      <c r="A235" s="22">
        <v>43069</v>
      </c>
      <c r="B235" s="22"/>
      <c r="C235" s="25">
        <f>ROUND(13.738,4)</f>
        <v>13.738</v>
      </c>
      <c r="D235" s="25">
        <f>F235</f>
        <v>13.8501</v>
      </c>
      <c r="E235" s="25">
        <f>F235</f>
        <v>13.8501</v>
      </c>
      <c r="F235" s="25">
        <f>ROUND(13.8501,4)</f>
        <v>13.8501</v>
      </c>
      <c r="G235" s="24"/>
      <c r="H235" s="36"/>
    </row>
    <row r="236" spans="1:8" ht="12.75" customHeight="1">
      <c r="A236" s="22">
        <v>43084</v>
      </c>
      <c r="B236" s="22"/>
      <c r="C236" s="25">
        <f>ROUND(13.738,4)</f>
        <v>13.738</v>
      </c>
      <c r="D236" s="25">
        <f>F236</f>
        <v>13.886</v>
      </c>
      <c r="E236" s="25">
        <f>F236</f>
        <v>13.886</v>
      </c>
      <c r="F236" s="25">
        <f>ROUND(13.886,4)</f>
        <v>13.886</v>
      </c>
      <c r="G236" s="24"/>
      <c r="H236" s="36"/>
    </row>
    <row r="237" spans="1:8" ht="12.75" customHeight="1">
      <c r="A237" s="22">
        <v>43091</v>
      </c>
      <c r="B237" s="22"/>
      <c r="C237" s="25">
        <f>ROUND(13.738,4)</f>
        <v>13.738</v>
      </c>
      <c r="D237" s="25">
        <f>F237</f>
        <v>13.9011</v>
      </c>
      <c r="E237" s="25">
        <f>F237</f>
        <v>13.9011</v>
      </c>
      <c r="F237" s="25">
        <f>ROUND(13.9011,4)</f>
        <v>13.9011</v>
      </c>
      <c r="G237" s="24"/>
      <c r="H237" s="36"/>
    </row>
    <row r="238" spans="1:8" ht="12.75" customHeight="1">
      <c r="A238" s="22">
        <v>43096</v>
      </c>
      <c r="B238" s="22"/>
      <c r="C238" s="25">
        <f>ROUND(13.738,4)</f>
        <v>13.738</v>
      </c>
      <c r="D238" s="25">
        <f>F238</f>
        <v>13.9118</v>
      </c>
      <c r="E238" s="25">
        <f>F238</f>
        <v>13.9118</v>
      </c>
      <c r="F238" s="25">
        <f>ROUND(13.9118,4)</f>
        <v>13.9118</v>
      </c>
      <c r="G238" s="24"/>
      <c r="H238" s="36"/>
    </row>
    <row r="239" spans="1:8" ht="12.75" customHeight="1">
      <c r="A239" s="22">
        <v>43102</v>
      </c>
      <c r="B239" s="22"/>
      <c r="C239" s="25">
        <f>ROUND(13.738,4)</f>
        <v>13.738</v>
      </c>
      <c r="D239" s="25">
        <f>F239</f>
        <v>13.9247</v>
      </c>
      <c r="E239" s="25">
        <f>F239</f>
        <v>13.9247</v>
      </c>
      <c r="F239" s="25">
        <f>ROUND(13.9247,4)</f>
        <v>13.9247</v>
      </c>
      <c r="G239" s="24"/>
      <c r="H239" s="36"/>
    </row>
    <row r="240" spans="1:8" ht="12.75" customHeight="1">
      <c r="A240" s="22">
        <v>43109</v>
      </c>
      <c r="B240" s="22"/>
      <c r="C240" s="25">
        <f>ROUND(13.738,4)</f>
        <v>13.738</v>
      </c>
      <c r="D240" s="25">
        <f>F240</f>
        <v>13.9398</v>
      </c>
      <c r="E240" s="25">
        <f>F240</f>
        <v>13.9398</v>
      </c>
      <c r="F240" s="25">
        <f>ROUND(13.9398,4)</f>
        <v>13.9398</v>
      </c>
      <c r="G240" s="24"/>
      <c r="H240" s="36"/>
    </row>
    <row r="241" spans="1:8" ht="12.75" customHeight="1">
      <c r="A241" s="22">
        <v>43131</v>
      </c>
      <c r="B241" s="22"/>
      <c r="C241" s="25">
        <f>ROUND(13.738,4)</f>
        <v>13.738</v>
      </c>
      <c r="D241" s="25">
        <f>F241</f>
        <v>13.9876</v>
      </c>
      <c r="E241" s="25">
        <f>F241</f>
        <v>13.9876</v>
      </c>
      <c r="F241" s="25">
        <f>ROUND(13.9876,4)</f>
        <v>13.9876</v>
      </c>
      <c r="G241" s="24"/>
      <c r="H241" s="36"/>
    </row>
    <row r="242" spans="1:8" ht="12.75" customHeight="1">
      <c r="A242" s="22">
        <v>43132</v>
      </c>
      <c r="B242" s="22"/>
      <c r="C242" s="25">
        <f>ROUND(13.738,4)</f>
        <v>13.738</v>
      </c>
      <c r="D242" s="25">
        <f>F242</f>
        <v>13.9898</v>
      </c>
      <c r="E242" s="25">
        <f>F242</f>
        <v>13.9898</v>
      </c>
      <c r="F242" s="25">
        <f>ROUND(13.9898,4)</f>
        <v>13.9898</v>
      </c>
      <c r="G242" s="24"/>
      <c r="H242" s="36"/>
    </row>
    <row r="243" spans="1:8" ht="12.75" customHeight="1">
      <c r="A243" s="22">
        <v>43144</v>
      </c>
      <c r="B243" s="22"/>
      <c r="C243" s="25">
        <f>ROUND(13.738,4)</f>
        <v>13.738</v>
      </c>
      <c r="D243" s="25">
        <f>F243</f>
        <v>14.0159</v>
      </c>
      <c r="E243" s="25">
        <f>F243</f>
        <v>14.0159</v>
      </c>
      <c r="F243" s="25">
        <f>ROUND(14.0159,4)</f>
        <v>14.0159</v>
      </c>
      <c r="G243" s="24"/>
      <c r="H243" s="36"/>
    </row>
    <row r="244" spans="1:8" ht="12.75" customHeight="1">
      <c r="A244" s="22">
        <v>43146</v>
      </c>
      <c r="B244" s="22"/>
      <c r="C244" s="25">
        <f>ROUND(13.738,4)</f>
        <v>13.738</v>
      </c>
      <c r="D244" s="25">
        <f>F244</f>
        <v>14.0202</v>
      </c>
      <c r="E244" s="25">
        <f>F244</f>
        <v>14.0202</v>
      </c>
      <c r="F244" s="25">
        <f>ROUND(14.0202,4)</f>
        <v>14.0202</v>
      </c>
      <c r="G244" s="24"/>
      <c r="H244" s="36"/>
    </row>
    <row r="245" spans="1:8" ht="12.75" customHeight="1">
      <c r="A245" s="22">
        <v>43215</v>
      </c>
      <c r="B245" s="22"/>
      <c r="C245" s="25">
        <f>ROUND(13.738,4)</f>
        <v>13.738</v>
      </c>
      <c r="D245" s="25">
        <f>F245</f>
        <v>14.1694</v>
      </c>
      <c r="E245" s="25">
        <f>F245</f>
        <v>14.1694</v>
      </c>
      <c r="F245" s="25">
        <f>ROUND(14.1694,4)</f>
        <v>14.1694</v>
      </c>
      <c r="G245" s="24"/>
      <c r="H245" s="36"/>
    </row>
    <row r="246" spans="1:8" ht="12.75" customHeight="1">
      <c r="A246" s="22">
        <v>43231</v>
      </c>
      <c r="B246" s="22"/>
      <c r="C246" s="25">
        <f>ROUND(13.738,4)</f>
        <v>13.738</v>
      </c>
      <c r="D246" s="25">
        <f>F246</f>
        <v>14.2032</v>
      </c>
      <c r="E246" s="25">
        <f>F246</f>
        <v>14.2032</v>
      </c>
      <c r="F246" s="25">
        <f>ROUND(14.2032,4)</f>
        <v>14.2032</v>
      </c>
      <c r="G246" s="24"/>
      <c r="H246" s="36"/>
    </row>
    <row r="247" spans="1:8" ht="12.75" customHeight="1">
      <c r="A247" s="22">
        <v>43235</v>
      </c>
      <c r="B247" s="22"/>
      <c r="C247" s="25">
        <f>ROUND(13.738,4)</f>
        <v>13.738</v>
      </c>
      <c r="D247" s="25">
        <f>F247</f>
        <v>14.2117</v>
      </c>
      <c r="E247" s="25">
        <f>F247</f>
        <v>14.2117</v>
      </c>
      <c r="F247" s="25">
        <f>ROUND(14.2117,4)</f>
        <v>14.2117</v>
      </c>
      <c r="G247" s="24"/>
      <c r="H247" s="36"/>
    </row>
    <row r="248" spans="1:8" ht="12.75" customHeight="1">
      <c r="A248" s="22">
        <v>43283</v>
      </c>
      <c r="B248" s="22"/>
      <c r="C248" s="25">
        <f>ROUND(13.738,4)</f>
        <v>13.738</v>
      </c>
      <c r="D248" s="25">
        <f>F248</f>
        <v>14.3131</v>
      </c>
      <c r="E248" s="25">
        <f>F248</f>
        <v>14.3131</v>
      </c>
      <c r="F248" s="25">
        <f>ROUND(14.3131,4)</f>
        <v>14.3131</v>
      </c>
      <c r="G248" s="24"/>
      <c r="H248" s="36"/>
    </row>
    <row r="249" spans="1:8" ht="12.75" customHeight="1">
      <c r="A249" s="22">
        <v>43301</v>
      </c>
      <c r="B249" s="22"/>
      <c r="C249" s="25">
        <f>ROUND(13.738,4)</f>
        <v>13.738</v>
      </c>
      <c r="D249" s="25">
        <f>F249</f>
        <v>14.351</v>
      </c>
      <c r="E249" s="25">
        <f>F249</f>
        <v>14.351</v>
      </c>
      <c r="F249" s="25">
        <f>ROUND(14.351,4)</f>
        <v>14.351</v>
      </c>
      <c r="G249" s="24"/>
      <c r="H249" s="36"/>
    </row>
    <row r="250" spans="1:8" ht="12.75" customHeight="1">
      <c r="A250" s="22">
        <v>43325</v>
      </c>
      <c r="B250" s="22"/>
      <c r="C250" s="25">
        <f>ROUND(13.738,4)</f>
        <v>13.738</v>
      </c>
      <c r="D250" s="25">
        <f>F250</f>
        <v>14.4015</v>
      </c>
      <c r="E250" s="25">
        <f>F250</f>
        <v>14.4015</v>
      </c>
      <c r="F250" s="25">
        <f>ROUND(14.4015,4)</f>
        <v>14.4015</v>
      </c>
      <c r="G250" s="24"/>
      <c r="H250" s="36"/>
    </row>
    <row r="251" spans="1:8" ht="12.75" customHeight="1">
      <c r="A251" s="22">
        <v>43417</v>
      </c>
      <c r="B251" s="22"/>
      <c r="C251" s="25">
        <f>ROUND(13.738,4)</f>
        <v>13.738</v>
      </c>
      <c r="D251" s="25">
        <f>F251</f>
        <v>14.5979</v>
      </c>
      <c r="E251" s="25">
        <f>F251</f>
        <v>14.5979</v>
      </c>
      <c r="F251" s="25">
        <f>ROUND(14.5979,4)</f>
        <v>14.5979</v>
      </c>
      <c r="G251" s="24"/>
      <c r="H251" s="36"/>
    </row>
    <row r="252" spans="1:8" ht="12.75" customHeight="1">
      <c r="A252" s="22">
        <v>43509</v>
      </c>
      <c r="B252" s="22"/>
      <c r="C252" s="25">
        <f>ROUND(13.738,4)</f>
        <v>13.738</v>
      </c>
      <c r="D252" s="25">
        <f>F252</f>
        <v>14.7993</v>
      </c>
      <c r="E252" s="25">
        <f>F252</f>
        <v>14.7993</v>
      </c>
      <c r="F252" s="25">
        <f>ROUND(14.7993,4)</f>
        <v>14.7993</v>
      </c>
      <c r="G252" s="24"/>
      <c r="H252" s="36"/>
    </row>
    <row r="253" spans="1:8" ht="12.75" customHeight="1">
      <c r="A253" s="22">
        <v>44040</v>
      </c>
      <c r="B253" s="22"/>
      <c r="C253" s="25">
        <f>ROUND(13.738,4)</f>
        <v>13.738</v>
      </c>
      <c r="D253" s="25">
        <f>F253</f>
        <v>16.0732</v>
      </c>
      <c r="E253" s="25">
        <f>F253</f>
        <v>16.0732</v>
      </c>
      <c r="F253" s="25">
        <f>ROUND(16.0732,4)</f>
        <v>16.0732</v>
      </c>
      <c r="G253" s="24"/>
      <c r="H253" s="36"/>
    </row>
    <row r="254" spans="1:8" ht="12.75" customHeight="1">
      <c r="A254" s="22" t="s">
        <v>62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43087</v>
      </c>
      <c r="B255" s="22"/>
      <c r="C255" s="25">
        <f>ROUND(1.173525,4)</f>
        <v>1.1735</v>
      </c>
      <c r="D255" s="25">
        <f>F255</f>
        <v>1.1778</v>
      </c>
      <c r="E255" s="25">
        <f>F255</f>
        <v>1.1778</v>
      </c>
      <c r="F255" s="25">
        <f>ROUND(1.1778,4)</f>
        <v>1.1778</v>
      </c>
      <c r="G255" s="24"/>
      <c r="H255" s="36"/>
    </row>
    <row r="256" spans="1:8" ht="12.75" customHeight="1">
      <c r="A256" s="22">
        <v>43178</v>
      </c>
      <c r="B256" s="22"/>
      <c r="C256" s="25">
        <f>ROUND(1.173525,4)</f>
        <v>1.1735</v>
      </c>
      <c r="D256" s="25">
        <f>F256</f>
        <v>1.1844</v>
      </c>
      <c r="E256" s="25">
        <f>F256</f>
        <v>1.1844</v>
      </c>
      <c r="F256" s="25">
        <f>ROUND(1.1844,4)</f>
        <v>1.1844</v>
      </c>
      <c r="G256" s="24"/>
      <c r="H256" s="36"/>
    </row>
    <row r="257" spans="1:8" ht="12.75" customHeight="1">
      <c r="A257" s="22">
        <v>43269</v>
      </c>
      <c r="B257" s="22"/>
      <c r="C257" s="25">
        <f>ROUND(1.173525,4)</f>
        <v>1.1735</v>
      </c>
      <c r="D257" s="25">
        <f>F257</f>
        <v>1.1912</v>
      </c>
      <c r="E257" s="25">
        <f>F257</f>
        <v>1.1912</v>
      </c>
      <c r="F257" s="25">
        <f>ROUND(1.1912,4)</f>
        <v>1.1912</v>
      </c>
      <c r="G257" s="24"/>
      <c r="H257" s="36"/>
    </row>
    <row r="258" spans="1:8" ht="12.75" customHeight="1">
      <c r="A258" s="22">
        <v>43360</v>
      </c>
      <c r="B258" s="22"/>
      <c r="C258" s="25">
        <f>ROUND(1.173525,4)</f>
        <v>1.1735</v>
      </c>
      <c r="D258" s="25">
        <f>F258</f>
        <v>1.1981</v>
      </c>
      <c r="E258" s="25">
        <f>F258</f>
        <v>1.1981</v>
      </c>
      <c r="F258" s="25">
        <f>ROUND(1.1981,4)</f>
        <v>1.1981</v>
      </c>
      <c r="G258" s="24"/>
      <c r="H258" s="36"/>
    </row>
    <row r="259" spans="1:8" ht="12.75" customHeight="1">
      <c r="A259" s="22" t="s">
        <v>63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43087</v>
      </c>
      <c r="B260" s="22"/>
      <c r="C260" s="25">
        <f>ROUND(1.30565,4)</f>
        <v>1.3057</v>
      </c>
      <c r="D260" s="25">
        <f>F260</f>
        <v>1.3084</v>
      </c>
      <c r="E260" s="25">
        <f>F260</f>
        <v>1.3084</v>
      </c>
      <c r="F260" s="25">
        <f>ROUND(1.3084,4)</f>
        <v>1.3084</v>
      </c>
      <c r="G260" s="24"/>
      <c r="H260" s="36"/>
    </row>
    <row r="261" spans="1:8" ht="12.75" customHeight="1">
      <c r="A261" s="22">
        <v>43178</v>
      </c>
      <c r="B261" s="22"/>
      <c r="C261" s="25">
        <f>ROUND(1.30565,4)</f>
        <v>1.3057</v>
      </c>
      <c r="D261" s="25">
        <f>F261</f>
        <v>1.3122</v>
      </c>
      <c r="E261" s="25">
        <f>F261</f>
        <v>1.3122</v>
      </c>
      <c r="F261" s="25">
        <f>ROUND(1.3122,4)</f>
        <v>1.3122</v>
      </c>
      <c r="G261" s="24"/>
      <c r="H261" s="36"/>
    </row>
    <row r="262" spans="1:8" ht="12.75" customHeight="1">
      <c r="A262" s="22">
        <v>43269</v>
      </c>
      <c r="B262" s="22"/>
      <c r="C262" s="25">
        <f>ROUND(1.30565,4)</f>
        <v>1.3057</v>
      </c>
      <c r="D262" s="25">
        <f>F262</f>
        <v>1.316</v>
      </c>
      <c r="E262" s="25">
        <f>F262</f>
        <v>1.316</v>
      </c>
      <c r="F262" s="25">
        <f>ROUND(1.316,4)</f>
        <v>1.316</v>
      </c>
      <c r="G262" s="24"/>
      <c r="H262" s="36"/>
    </row>
    <row r="263" spans="1:8" ht="12.75" customHeight="1">
      <c r="A263" s="22">
        <v>43360</v>
      </c>
      <c r="B263" s="22"/>
      <c r="C263" s="25">
        <f>ROUND(1.30565,4)</f>
        <v>1.3057</v>
      </c>
      <c r="D263" s="25">
        <f>F263</f>
        <v>1.3197</v>
      </c>
      <c r="E263" s="25">
        <f>F263</f>
        <v>1.3197</v>
      </c>
      <c r="F263" s="25">
        <f>ROUND(1.3197,4)</f>
        <v>1.3197</v>
      </c>
      <c r="G263" s="24"/>
      <c r="H263" s="36"/>
    </row>
    <row r="264" spans="1:8" ht="12.75" customHeight="1">
      <c r="A264" s="22" t="s">
        <v>64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43087</v>
      </c>
      <c r="B265" s="22"/>
      <c r="C265" s="25">
        <f>ROUND(10.664981125,4)</f>
        <v>10.665</v>
      </c>
      <c r="D265" s="25">
        <f>F265</f>
        <v>10.7762</v>
      </c>
      <c r="E265" s="25">
        <f>F265</f>
        <v>10.7762</v>
      </c>
      <c r="F265" s="25">
        <f>ROUND(10.7762,4)</f>
        <v>10.7762</v>
      </c>
      <c r="G265" s="24"/>
      <c r="H265" s="36"/>
    </row>
    <row r="266" spans="1:8" ht="12.75" customHeight="1">
      <c r="A266" s="22">
        <v>43178</v>
      </c>
      <c r="B266" s="22"/>
      <c r="C266" s="25">
        <f>ROUND(10.664981125,4)</f>
        <v>10.665</v>
      </c>
      <c r="D266" s="25">
        <f>F266</f>
        <v>10.9208</v>
      </c>
      <c r="E266" s="25">
        <f>F266</f>
        <v>10.9208</v>
      </c>
      <c r="F266" s="25">
        <f>ROUND(10.9208,4)</f>
        <v>10.9208</v>
      </c>
      <c r="G266" s="24"/>
      <c r="H266" s="36"/>
    </row>
    <row r="267" spans="1:8" ht="12.75" customHeight="1">
      <c r="A267" s="22">
        <v>43269</v>
      </c>
      <c r="B267" s="22"/>
      <c r="C267" s="25">
        <f>ROUND(10.664981125,4)</f>
        <v>10.665</v>
      </c>
      <c r="D267" s="25">
        <f>F267</f>
        <v>11.0628</v>
      </c>
      <c r="E267" s="25">
        <f>F267</f>
        <v>11.0628</v>
      </c>
      <c r="F267" s="25">
        <f>ROUND(11.0628,4)</f>
        <v>11.0628</v>
      </c>
      <c r="G267" s="24"/>
      <c r="H267" s="36"/>
    </row>
    <row r="268" spans="1:8" ht="12.75" customHeight="1">
      <c r="A268" s="22">
        <v>43360</v>
      </c>
      <c r="B268" s="22"/>
      <c r="C268" s="25">
        <f>ROUND(10.664981125,4)</f>
        <v>10.665</v>
      </c>
      <c r="D268" s="25">
        <f>F268</f>
        <v>11.2026</v>
      </c>
      <c r="E268" s="25">
        <f>F268</f>
        <v>11.2026</v>
      </c>
      <c r="F268" s="25">
        <f>ROUND(11.2026,4)</f>
        <v>11.2026</v>
      </c>
      <c r="G268" s="24"/>
      <c r="H268" s="36"/>
    </row>
    <row r="269" spans="1:8" ht="12.75" customHeight="1">
      <c r="A269" s="22">
        <v>43448</v>
      </c>
      <c r="B269" s="22"/>
      <c r="C269" s="25">
        <f>ROUND(10.664981125,4)</f>
        <v>10.665</v>
      </c>
      <c r="D269" s="25">
        <f>F269</f>
        <v>11.3414</v>
      </c>
      <c r="E269" s="25">
        <f>F269</f>
        <v>11.3414</v>
      </c>
      <c r="F269" s="25">
        <f>ROUND(11.3414,4)</f>
        <v>11.3414</v>
      </c>
      <c r="G269" s="24"/>
      <c r="H269" s="36"/>
    </row>
    <row r="270" spans="1:8" ht="12.75" customHeight="1">
      <c r="A270" s="22">
        <v>43542</v>
      </c>
      <c r="B270" s="22"/>
      <c r="C270" s="25">
        <f>ROUND(10.664981125,4)</f>
        <v>10.665</v>
      </c>
      <c r="D270" s="25">
        <f>F270</f>
        <v>11.4908</v>
      </c>
      <c r="E270" s="25">
        <f>F270</f>
        <v>11.4908</v>
      </c>
      <c r="F270" s="25">
        <f>ROUND(11.4908,4)</f>
        <v>11.4908</v>
      </c>
      <c r="G270" s="24"/>
      <c r="H270" s="36"/>
    </row>
    <row r="271" spans="1:8" ht="12.75" customHeight="1">
      <c r="A271" s="22">
        <v>43630</v>
      </c>
      <c r="B271" s="22"/>
      <c r="C271" s="25">
        <f>ROUND(10.664981125,4)</f>
        <v>10.665</v>
      </c>
      <c r="D271" s="25">
        <f>F271</f>
        <v>11.6282</v>
      </c>
      <c r="E271" s="25">
        <f>F271</f>
        <v>11.6282</v>
      </c>
      <c r="F271" s="25">
        <f>ROUND(11.6282,4)</f>
        <v>11.6282</v>
      </c>
      <c r="G271" s="24"/>
      <c r="H271" s="36"/>
    </row>
    <row r="272" spans="1:8" ht="12.75" customHeight="1">
      <c r="A272" s="22">
        <v>43724</v>
      </c>
      <c r="B272" s="22"/>
      <c r="C272" s="25">
        <f>ROUND(10.664981125,4)</f>
        <v>10.665</v>
      </c>
      <c r="D272" s="25">
        <f>F272</f>
        <v>11.7726</v>
      </c>
      <c r="E272" s="25">
        <f>F272</f>
        <v>11.7726</v>
      </c>
      <c r="F272" s="25">
        <f>ROUND(11.7726,4)</f>
        <v>11.7726</v>
      </c>
      <c r="G272" s="24"/>
      <c r="H272" s="36"/>
    </row>
    <row r="273" spans="1:8" ht="12.75" customHeight="1">
      <c r="A273" s="22" t="s">
        <v>65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43087</v>
      </c>
      <c r="B274" s="22"/>
      <c r="C274" s="25">
        <f>ROUND(3.74036864602902,4)</f>
        <v>3.7404</v>
      </c>
      <c r="D274" s="25">
        <f>F274</f>
        <v>4.1014</v>
      </c>
      <c r="E274" s="25">
        <f>F274</f>
        <v>4.1014</v>
      </c>
      <c r="F274" s="25">
        <f>ROUND(4.1014,4)</f>
        <v>4.1014</v>
      </c>
      <c r="G274" s="24"/>
      <c r="H274" s="36"/>
    </row>
    <row r="275" spans="1:8" ht="12.75" customHeight="1">
      <c r="A275" s="22">
        <v>43178</v>
      </c>
      <c r="B275" s="22"/>
      <c r="C275" s="25">
        <f>ROUND(3.74036864602902,4)</f>
        <v>3.7404</v>
      </c>
      <c r="D275" s="25">
        <f>F275</f>
        <v>4.1574</v>
      </c>
      <c r="E275" s="25">
        <f>F275</f>
        <v>4.1574</v>
      </c>
      <c r="F275" s="25">
        <f>ROUND(4.1574,4)</f>
        <v>4.1574</v>
      </c>
      <c r="G275" s="24"/>
      <c r="H275" s="36"/>
    </row>
    <row r="276" spans="1:8" ht="12.75" customHeight="1">
      <c r="A276" s="22">
        <v>43269</v>
      </c>
      <c r="B276" s="22"/>
      <c r="C276" s="25">
        <f>ROUND(3.74036864602902,4)</f>
        <v>3.7404</v>
      </c>
      <c r="D276" s="25">
        <f>F276</f>
        <v>4.2165</v>
      </c>
      <c r="E276" s="25">
        <f>F276</f>
        <v>4.2165</v>
      </c>
      <c r="F276" s="25">
        <f>ROUND(4.2165,4)</f>
        <v>4.2165</v>
      </c>
      <c r="G276" s="24"/>
      <c r="H276" s="36"/>
    </row>
    <row r="277" spans="1:8" ht="12.75" customHeight="1">
      <c r="A277" s="22" t="s">
        <v>66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43087</v>
      </c>
      <c r="B278" s="22"/>
      <c r="C278" s="25">
        <f>ROUND(1.31586064,4)</f>
        <v>1.3159</v>
      </c>
      <c r="D278" s="25">
        <f>F278</f>
        <v>1.3299</v>
      </c>
      <c r="E278" s="25">
        <f>F278</f>
        <v>1.3299</v>
      </c>
      <c r="F278" s="25">
        <v>1.3299</v>
      </c>
      <c r="G278" s="24"/>
      <c r="H278" s="36"/>
    </row>
    <row r="279" spans="1:8" ht="12.75" customHeight="1">
      <c r="A279" s="22">
        <v>43178</v>
      </c>
      <c r="B279" s="22"/>
      <c r="C279" s="25">
        <f>ROUND(1.31586064,4)</f>
        <v>1.3159</v>
      </c>
      <c r="D279" s="25">
        <f>F279</f>
        <v>1.3441</v>
      </c>
      <c r="E279" s="25">
        <f>F279</f>
        <v>1.3441</v>
      </c>
      <c r="F279" s="25">
        <v>1.3441</v>
      </c>
      <c r="G279" s="24"/>
      <c r="H279" s="36"/>
    </row>
    <row r="280" spans="1:8" ht="12.75" customHeight="1">
      <c r="A280" s="22">
        <v>43269</v>
      </c>
      <c r="B280" s="22"/>
      <c r="C280" s="25">
        <f>ROUND(1.31586064,4)</f>
        <v>1.3159</v>
      </c>
      <c r="D280" s="25">
        <f>F280</f>
        <v>1.3595</v>
      </c>
      <c r="E280" s="25">
        <f>F280</f>
        <v>1.3595</v>
      </c>
      <c r="F280" s="25">
        <v>1.3595</v>
      </c>
      <c r="G280" s="24"/>
      <c r="H280" s="36"/>
    </row>
    <row r="281" spans="1:8" ht="12.75" customHeight="1">
      <c r="A281" s="22">
        <v>43360</v>
      </c>
      <c r="B281" s="22"/>
      <c r="C281" s="25">
        <f>ROUND(1.31586064,4)</f>
        <v>1.3159</v>
      </c>
      <c r="D281" s="25">
        <f>F281</f>
        <v>1.3738</v>
      </c>
      <c r="E281" s="25">
        <f>F281</f>
        <v>1.3738</v>
      </c>
      <c r="F281" s="25">
        <f>ROUND(1.3738,4)</f>
        <v>1.3738</v>
      </c>
      <c r="G281" s="24"/>
      <c r="H281" s="36"/>
    </row>
    <row r="282" spans="1:8" ht="12.75" customHeight="1">
      <c r="A282" s="22">
        <v>43448</v>
      </c>
      <c r="B282" s="22"/>
      <c r="C282" s="25">
        <f>ROUND(1.31586064,4)</f>
        <v>1.3159</v>
      </c>
      <c r="D282" s="25">
        <f>F282</f>
        <v>1.4497</v>
      </c>
      <c r="E282" s="25">
        <f>F282</f>
        <v>1.4497</v>
      </c>
      <c r="F282" s="25">
        <f>ROUND(1.4497,4)</f>
        <v>1.4497</v>
      </c>
      <c r="G282" s="24"/>
      <c r="H282" s="36"/>
    </row>
    <row r="283" spans="1:8" ht="12.75" customHeight="1">
      <c r="A283" s="22">
        <v>43542</v>
      </c>
      <c r="B283" s="22"/>
      <c r="C283" s="25">
        <f>ROUND(1.31586064,4)</f>
        <v>1.3159</v>
      </c>
      <c r="D283" s="25">
        <f>F283</f>
        <v>1.4531</v>
      </c>
      <c r="E283" s="25">
        <f>F283</f>
        <v>1.4531</v>
      </c>
      <c r="F283" s="25">
        <f>ROUND(1.4531,4)</f>
        <v>1.4531</v>
      </c>
      <c r="G283" s="24"/>
      <c r="H283" s="36"/>
    </row>
    <row r="284" spans="1:8" ht="12.75" customHeight="1">
      <c r="A284" s="22">
        <v>43630</v>
      </c>
      <c r="B284" s="22"/>
      <c r="C284" s="25">
        <f>ROUND(1.31586064,4)</f>
        <v>1.3159</v>
      </c>
      <c r="D284" s="25">
        <f>F284</f>
        <v>1.4516</v>
      </c>
      <c r="E284" s="25">
        <f>F284</f>
        <v>1.4516</v>
      </c>
      <c r="F284" s="25">
        <f>ROUND(1.4516,4)</f>
        <v>1.4516</v>
      </c>
      <c r="G284" s="24"/>
      <c r="H284" s="36"/>
    </row>
    <row r="285" spans="1:8" ht="12.75" customHeight="1">
      <c r="A285" s="22">
        <v>43724</v>
      </c>
      <c r="B285" s="22"/>
      <c r="C285" s="25">
        <f>ROUND(1.31586064,4)</f>
        <v>1.3159</v>
      </c>
      <c r="D285" s="25">
        <f>F285</f>
        <v>1.4463</v>
      </c>
      <c r="E285" s="25">
        <f>F285</f>
        <v>1.4463</v>
      </c>
      <c r="F285" s="25">
        <f>ROUND(1.4463,4)</f>
        <v>1.4463</v>
      </c>
      <c r="G285" s="24"/>
      <c r="H285" s="36"/>
    </row>
    <row r="286" spans="1:8" ht="12.75" customHeight="1">
      <c r="A286" s="22" t="s">
        <v>67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43087</v>
      </c>
      <c r="B287" s="22"/>
      <c r="C287" s="25">
        <f>ROUND(10.9597128041484,4)</f>
        <v>10.9597</v>
      </c>
      <c r="D287" s="25">
        <f>F287</f>
        <v>11.0879</v>
      </c>
      <c r="E287" s="25">
        <f>F287</f>
        <v>11.0879</v>
      </c>
      <c r="F287" s="25">
        <f>ROUND(11.0879,4)</f>
        <v>11.0879</v>
      </c>
      <c r="G287" s="24"/>
      <c r="H287" s="36"/>
    </row>
    <row r="288" spans="1:8" ht="12.75" customHeight="1">
      <c r="A288" s="22">
        <v>43178</v>
      </c>
      <c r="B288" s="22"/>
      <c r="C288" s="25">
        <f>ROUND(10.9597128041484,4)</f>
        <v>10.9597</v>
      </c>
      <c r="D288" s="25">
        <f>F288</f>
        <v>11.2503</v>
      </c>
      <c r="E288" s="25">
        <f>F288</f>
        <v>11.2503</v>
      </c>
      <c r="F288" s="25">
        <f>ROUND(11.2503,4)</f>
        <v>11.2503</v>
      </c>
      <c r="G288" s="24"/>
      <c r="H288" s="36"/>
    </row>
    <row r="289" spans="1:8" ht="12.75" customHeight="1">
      <c r="A289" s="22">
        <v>43269</v>
      </c>
      <c r="B289" s="22"/>
      <c r="C289" s="25">
        <f>ROUND(10.9597128041484,4)</f>
        <v>10.9597</v>
      </c>
      <c r="D289" s="25">
        <f>F289</f>
        <v>11.4062</v>
      </c>
      <c r="E289" s="25">
        <f>F289</f>
        <v>11.4062</v>
      </c>
      <c r="F289" s="25">
        <f>ROUND(11.4062,4)</f>
        <v>11.4062</v>
      </c>
      <c r="G289" s="24"/>
      <c r="H289" s="36"/>
    </row>
    <row r="290" spans="1:8" ht="12.75" customHeight="1">
      <c r="A290" s="22">
        <v>43360</v>
      </c>
      <c r="B290" s="22"/>
      <c r="C290" s="25">
        <f>ROUND(10.9597128041484,4)</f>
        <v>10.9597</v>
      </c>
      <c r="D290" s="25">
        <f>F290</f>
        <v>11.4075</v>
      </c>
      <c r="E290" s="25">
        <f>F290</f>
        <v>11.4075</v>
      </c>
      <c r="F290" s="25">
        <f>ROUND(11.4075,4)</f>
        <v>11.4075</v>
      </c>
      <c r="G290" s="24"/>
      <c r="H290" s="36"/>
    </row>
    <row r="291" spans="1:8" ht="12.75" customHeight="1">
      <c r="A291" s="22">
        <v>43448</v>
      </c>
      <c r="B291" s="22"/>
      <c r="C291" s="25">
        <f>ROUND(10.9597128041484,4)</f>
        <v>10.9597</v>
      </c>
      <c r="D291" s="25">
        <f>F291</f>
        <v>11.5626</v>
      </c>
      <c r="E291" s="25">
        <f>F291</f>
        <v>11.5626</v>
      </c>
      <c r="F291" s="25">
        <f>ROUND(11.5626,4)</f>
        <v>11.5626</v>
      </c>
      <c r="G291" s="24"/>
      <c r="H291" s="36"/>
    </row>
    <row r="292" spans="1:8" ht="12.75" customHeight="1">
      <c r="A292" s="22">
        <v>43542</v>
      </c>
      <c r="B292" s="22"/>
      <c r="C292" s="25">
        <f>ROUND(10.9597128041484,4)</f>
        <v>10.9597</v>
      </c>
      <c r="D292" s="25">
        <f>F292</f>
        <v>11.7172</v>
      </c>
      <c r="E292" s="25">
        <f>F292</f>
        <v>11.7172</v>
      </c>
      <c r="F292" s="25">
        <f>ROUND(11.7172,4)</f>
        <v>11.7172</v>
      </c>
      <c r="G292" s="24"/>
      <c r="H292" s="36"/>
    </row>
    <row r="293" spans="1:8" ht="12.75" customHeight="1">
      <c r="A293" s="22">
        <v>43630</v>
      </c>
      <c r="B293" s="22"/>
      <c r="C293" s="25">
        <f>ROUND(10.9597128041484,4)</f>
        <v>10.9597</v>
      </c>
      <c r="D293" s="25">
        <f>F293</f>
        <v>11.864</v>
      </c>
      <c r="E293" s="25">
        <f>F293</f>
        <v>11.864</v>
      </c>
      <c r="F293" s="25">
        <f>ROUND(11.864,4)</f>
        <v>11.864</v>
      </c>
      <c r="G293" s="24"/>
      <c r="H293" s="36"/>
    </row>
    <row r="294" spans="1:8" ht="12.75" customHeight="1">
      <c r="A294" s="22">
        <v>43724</v>
      </c>
      <c r="B294" s="22"/>
      <c r="C294" s="25">
        <f>ROUND(10.9597128041484,4)</f>
        <v>10.9597</v>
      </c>
      <c r="D294" s="25">
        <f>F294</f>
        <v>12.0176</v>
      </c>
      <c r="E294" s="25">
        <f>F294</f>
        <v>12.0176</v>
      </c>
      <c r="F294" s="25">
        <f>ROUND(12.0176,4)</f>
        <v>12.0176</v>
      </c>
      <c r="G294" s="24"/>
      <c r="H294" s="36"/>
    </row>
    <row r="295" spans="1:8" ht="12.75" customHeight="1">
      <c r="A295" s="22" t="s">
        <v>68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43087</v>
      </c>
      <c r="B296" s="22"/>
      <c r="C296" s="25">
        <f>ROUND(2.08936480602784,4)</f>
        <v>2.0894</v>
      </c>
      <c r="D296" s="25">
        <f>F296</f>
        <v>2.0811</v>
      </c>
      <c r="E296" s="25">
        <f>F296</f>
        <v>2.0811</v>
      </c>
      <c r="F296" s="25">
        <f>ROUND(2.0811,4)</f>
        <v>2.0811</v>
      </c>
      <c r="G296" s="24"/>
      <c r="H296" s="36"/>
    </row>
    <row r="297" spans="1:8" ht="12.75" customHeight="1">
      <c r="A297" s="22">
        <v>43178</v>
      </c>
      <c r="B297" s="22"/>
      <c r="C297" s="25">
        <f>ROUND(2.08936480602784,4)</f>
        <v>2.0894</v>
      </c>
      <c r="D297" s="25">
        <f>F297</f>
        <v>2.099</v>
      </c>
      <c r="E297" s="25">
        <f>F297</f>
        <v>2.099</v>
      </c>
      <c r="F297" s="25">
        <f>ROUND(2.099,4)</f>
        <v>2.099</v>
      </c>
      <c r="G297" s="24"/>
      <c r="H297" s="36"/>
    </row>
    <row r="298" spans="1:8" ht="12.75" customHeight="1">
      <c r="A298" s="22">
        <v>43269</v>
      </c>
      <c r="B298" s="22"/>
      <c r="C298" s="25">
        <f>ROUND(2.08936480602784,4)</f>
        <v>2.0894</v>
      </c>
      <c r="D298" s="25">
        <f>F298</f>
        <v>2.1162</v>
      </c>
      <c r="E298" s="25">
        <f>F298</f>
        <v>2.1162</v>
      </c>
      <c r="F298" s="25">
        <f>ROUND(2.1162,4)</f>
        <v>2.1162</v>
      </c>
      <c r="G298" s="24"/>
      <c r="H298" s="36"/>
    </row>
    <row r="299" spans="1:8" ht="12.75" customHeight="1">
      <c r="A299" s="22">
        <v>43360</v>
      </c>
      <c r="B299" s="22"/>
      <c r="C299" s="25">
        <f>ROUND(2.08936480602784,4)</f>
        <v>2.0894</v>
      </c>
      <c r="D299" s="25">
        <f>F299</f>
        <v>2.1328</v>
      </c>
      <c r="E299" s="25">
        <f>F299</f>
        <v>2.1328</v>
      </c>
      <c r="F299" s="25">
        <f>ROUND(2.1328,4)</f>
        <v>2.1328</v>
      </c>
      <c r="G299" s="24"/>
      <c r="H299" s="36"/>
    </row>
    <row r="300" spans="1:8" ht="12.75" customHeight="1">
      <c r="A300" s="22">
        <v>43448</v>
      </c>
      <c r="B300" s="22"/>
      <c r="C300" s="25">
        <f>ROUND(2.08936480602784,4)</f>
        <v>2.0894</v>
      </c>
      <c r="D300" s="25">
        <f>F300</f>
        <v>2.1495</v>
      </c>
      <c r="E300" s="25">
        <f>F300</f>
        <v>2.1495</v>
      </c>
      <c r="F300" s="25">
        <f>ROUND(2.1495,4)</f>
        <v>2.1495</v>
      </c>
      <c r="G300" s="24"/>
      <c r="H300" s="36"/>
    </row>
    <row r="301" spans="1:8" ht="12.75" customHeight="1">
      <c r="A301" s="22">
        <v>43542</v>
      </c>
      <c r="B301" s="22"/>
      <c r="C301" s="25">
        <f>ROUND(2.08936480602784,4)</f>
        <v>2.0894</v>
      </c>
      <c r="D301" s="25">
        <f>F301</f>
        <v>2.1674</v>
      </c>
      <c r="E301" s="25">
        <f>F301</f>
        <v>2.1674</v>
      </c>
      <c r="F301" s="25">
        <f>ROUND(2.1674,4)</f>
        <v>2.1674</v>
      </c>
      <c r="G301" s="24"/>
      <c r="H301" s="36"/>
    </row>
    <row r="302" spans="1:8" ht="12.75" customHeight="1">
      <c r="A302" s="22">
        <v>43630</v>
      </c>
      <c r="B302" s="22"/>
      <c r="C302" s="25">
        <f>ROUND(2.08936480602784,4)</f>
        <v>2.0894</v>
      </c>
      <c r="D302" s="25">
        <f>F302</f>
        <v>2.184</v>
      </c>
      <c r="E302" s="25">
        <f>F302</f>
        <v>2.184</v>
      </c>
      <c r="F302" s="25">
        <f>ROUND(2.184,4)</f>
        <v>2.184</v>
      </c>
      <c r="G302" s="24"/>
      <c r="H302" s="36"/>
    </row>
    <row r="303" spans="1:8" ht="12.75" customHeight="1">
      <c r="A303" s="22">
        <v>43724</v>
      </c>
      <c r="B303" s="22"/>
      <c r="C303" s="25">
        <f>ROUND(2.08936480602784,4)</f>
        <v>2.0894</v>
      </c>
      <c r="D303" s="25">
        <f>F303</f>
        <v>2.2015</v>
      </c>
      <c r="E303" s="25">
        <f>F303</f>
        <v>2.2015</v>
      </c>
      <c r="F303" s="25">
        <f>ROUND(2.2015,4)</f>
        <v>2.2015</v>
      </c>
      <c r="G303" s="24"/>
      <c r="H303" s="36"/>
    </row>
    <row r="304" spans="1:8" ht="12.75" customHeight="1">
      <c r="A304" s="22" t="s">
        <v>69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43087</v>
      </c>
      <c r="B305" s="22"/>
      <c r="C305" s="25">
        <f>ROUND(2.1657838315046,4)</f>
        <v>2.1658</v>
      </c>
      <c r="D305" s="25">
        <f>F305</f>
        <v>2.2093</v>
      </c>
      <c r="E305" s="25">
        <f>F305</f>
        <v>2.2093</v>
      </c>
      <c r="F305" s="25">
        <f>ROUND(2.2093,4)</f>
        <v>2.2093</v>
      </c>
      <c r="G305" s="24"/>
      <c r="H305" s="36"/>
    </row>
    <row r="306" spans="1:8" ht="12.75" customHeight="1">
      <c r="A306" s="22">
        <v>43178</v>
      </c>
      <c r="B306" s="22"/>
      <c r="C306" s="25">
        <f>ROUND(2.1657838315046,4)</f>
        <v>2.1658</v>
      </c>
      <c r="D306" s="25">
        <f>F306</f>
        <v>2.2537</v>
      </c>
      <c r="E306" s="25">
        <f>F306</f>
        <v>2.2537</v>
      </c>
      <c r="F306" s="25">
        <f>ROUND(2.2537,4)</f>
        <v>2.2537</v>
      </c>
      <c r="G306" s="24"/>
      <c r="H306" s="36"/>
    </row>
    <row r="307" spans="1:8" ht="12.75" customHeight="1">
      <c r="A307" s="22">
        <v>43269</v>
      </c>
      <c r="B307" s="22"/>
      <c r="C307" s="25">
        <f>ROUND(2.1657838315046,4)</f>
        <v>2.1658</v>
      </c>
      <c r="D307" s="25">
        <f>F307</f>
        <v>2.2989</v>
      </c>
      <c r="E307" s="25">
        <f>F307</f>
        <v>2.2989</v>
      </c>
      <c r="F307" s="25">
        <f>ROUND(2.2989,4)</f>
        <v>2.2989</v>
      </c>
      <c r="G307" s="24"/>
      <c r="H307" s="36"/>
    </row>
    <row r="308" spans="1:8" ht="12.75" customHeight="1">
      <c r="A308" s="22">
        <v>43360</v>
      </c>
      <c r="B308" s="22"/>
      <c r="C308" s="25">
        <f>ROUND(2.1657838315046,4)</f>
        <v>2.1658</v>
      </c>
      <c r="D308" s="25">
        <f>F308</f>
        <v>2.3406</v>
      </c>
      <c r="E308" s="25">
        <f>F308</f>
        <v>2.3406</v>
      </c>
      <c r="F308" s="25">
        <f>ROUND(2.3406,4)</f>
        <v>2.3406</v>
      </c>
      <c r="G308" s="24"/>
      <c r="H308" s="36"/>
    </row>
    <row r="309" spans="1:8" ht="12.75" customHeight="1">
      <c r="A309" s="22">
        <v>43448</v>
      </c>
      <c r="B309" s="22"/>
      <c r="C309" s="25">
        <f>ROUND(2.1657838315046,4)</f>
        <v>2.1658</v>
      </c>
      <c r="D309" s="25">
        <f>F309</f>
        <v>2.4842</v>
      </c>
      <c r="E309" s="25">
        <f>F309</f>
        <v>2.4842</v>
      </c>
      <c r="F309" s="25">
        <f>ROUND(2.4842,4)</f>
        <v>2.4842</v>
      </c>
      <c r="G309" s="24"/>
      <c r="H309" s="36"/>
    </row>
    <row r="310" spans="1:8" ht="12.75" customHeight="1">
      <c r="A310" s="22">
        <v>43542</v>
      </c>
      <c r="B310" s="22"/>
      <c r="C310" s="25">
        <f>ROUND(2.1657838315046,4)</f>
        <v>2.1658</v>
      </c>
      <c r="D310" s="25">
        <f>F310</f>
        <v>2.544</v>
      </c>
      <c r="E310" s="25">
        <f>F310</f>
        <v>2.544</v>
      </c>
      <c r="F310" s="25">
        <f>ROUND(2.544,4)</f>
        <v>2.544</v>
      </c>
      <c r="G310" s="24"/>
      <c r="H310" s="36"/>
    </row>
    <row r="311" spans="1:8" ht="12.75" customHeight="1">
      <c r="A311" s="22">
        <v>43630</v>
      </c>
      <c r="B311" s="22"/>
      <c r="C311" s="25">
        <f>ROUND(2.1657838315046,4)</f>
        <v>2.1658</v>
      </c>
      <c r="D311" s="25">
        <f>F311</f>
        <v>2.6075</v>
      </c>
      <c r="E311" s="25">
        <f>F311</f>
        <v>2.6075</v>
      </c>
      <c r="F311" s="25">
        <f>ROUND(2.6075,4)</f>
        <v>2.6075</v>
      </c>
      <c r="G311" s="24"/>
      <c r="H311" s="36"/>
    </row>
    <row r="312" spans="1:8" ht="12.75" customHeight="1">
      <c r="A312" s="22">
        <v>43724</v>
      </c>
      <c r="B312" s="22"/>
      <c r="C312" s="25">
        <f>ROUND(2.1657838315046,4)</f>
        <v>2.1658</v>
      </c>
      <c r="D312" s="25">
        <f>F312</f>
        <v>2.6713</v>
      </c>
      <c r="E312" s="25">
        <f>F312</f>
        <v>2.6713</v>
      </c>
      <c r="F312" s="25">
        <f>ROUND(2.6713,4)</f>
        <v>2.6713</v>
      </c>
      <c r="G312" s="24"/>
      <c r="H312" s="36"/>
    </row>
    <row r="313" spans="1:8" ht="12.75" customHeight="1">
      <c r="A313" s="22" t="s">
        <v>70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43087</v>
      </c>
      <c r="B314" s="22"/>
      <c r="C314" s="25">
        <f>ROUND(16.12188645,4)</f>
        <v>16.1219</v>
      </c>
      <c r="D314" s="25">
        <f>F314</f>
        <v>16.3633</v>
      </c>
      <c r="E314" s="25">
        <f>F314</f>
        <v>16.3633</v>
      </c>
      <c r="F314" s="25">
        <f>ROUND(16.3633,4)</f>
        <v>16.3633</v>
      </c>
      <c r="G314" s="24"/>
      <c r="H314" s="36"/>
    </row>
    <row r="315" spans="1:8" ht="12.75" customHeight="1">
      <c r="A315" s="22">
        <v>43178</v>
      </c>
      <c r="B315" s="22"/>
      <c r="C315" s="25">
        <f>ROUND(16.12188645,4)</f>
        <v>16.1219</v>
      </c>
      <c r="D315" s="25">
        <f>F315</f>
        <v>16.6882</v>
      </c>
      <c r="E315" s="25">
        <f>F315</f>
        <v>16.6882</v>
      </c>
      <c r="F315" s="25">
        <f>ROUND(16.6882,4)</f>
        <v>16.6882</v>
      </c>
      <c r="G315" s="24"/>
      <c r="H315" s="36"/>
    </row>
    <row r="316" spans="1:8" ht="12.75" customHeight="1">
      <c r="A316" s="22">
        <v>43269</v>
      </c>
      <c r="B316" s="22"/>
      <c r="C316" s="25">
        <f>ROUND(16.12188645,4)</f>
        <v>16.1219</v>
      </c>
      <c r="D316" s="25">
        <f>F316</f>
        <v>17.0141</v>
      </c>
      <c r="E316" s="25">
        <f>F316</f>
        <v>17.0141</v>
      </c>
      <c r="F316" s="25">
        <f>ROUND(17.0141,4)</f>
        <v>17.0141</v>
      </c>
      <c r="G316" s="24"/>
      <c r="H316" s="36"/>
    </row>
    <row r="317" spans="1:8" ht="12.75" customHeight="1">
      <c r="A317" s="22">
        <v>43360</v>
      </c>
      <c r="B317" s="22"/>
      <c r="C317" s="25">
        <f>ROUND(16.12188645,4)</f>
        <v>16.1219</v>
      </c>
      <c r="D317" s="25">
        <f>F317</f>
        <v>17.3424</v>
      </c>
      <c r="E317" s="25">
        <f>F317</f>
        <v>17.3424</v>
      </c>
      <c r="F317" s="25">
        <f>ROUND(17.3424,4)</f>
        <v>17.3424</v>
      </c>
      <c r="G317" s="24"/>
      <c r="H317" s="36"/>
    </row>
    <row r="318" spans="1:8" ht="12.75" customHeight="1">
      <c r="A318" s="22">
        <v>43448</v>
      </c>
      <c r="B318" s="22"/>
      <c r="C318" s="25">
        <f>ROUND(16.12188645,4)</f>
        <v>16.1219</v>
      </c>
      <c r="D318" s="25">
        <f>F318</f>
        <v>17.6371</v>
      </c>
      <c r="E318" s="25">
        <f>F318</f>
        <v>17.6371</v>
      </c>
      <c r="F318" s="25">
        <f>ROUND(17.6371,4)</f>
        <v>17.6371</v>
      </c>
      <c r="G318" s="24"/>
      <c r="H318" s="36"/>
    </row>
    <row r="319" spans="1:8" ht="12.75" customHeight="1">
      <c r="A319" s="22">
        <v>43542</v>
      </c>
      <c r="B319" s="22"/>
      <c r="C319" s="25">
        <f>ROUND(16.12188645,4)</f>
        <v>16.1219</v>
      </c>
      <c r="D319" s="25">
        <f>F319</f>
        <v>18.0215</v>
      </c>
      <c r="E319" s="25">
        <f>F319</f>
        <v>18.0215</v>
      </c>
      <c r="F319" s="25">
        <f>ROUND(18.0215,4)</f>
        <v>18.0215</v>
      </c>
      <c r="G319" s="24"/>
      <c r="H319" s="36"/>
    </row>
    <row r="320" spans="1:8" ht="12.75" customHeight="1">
      <c r="A320" s="22">
        <v>43630</v>
      </c>
      <c r="B320" s="22"/>
      <c r="C320" s="25">
        <f>ROUND(16.12188645,4)</f>
        <v>16.1219</v>
      </c>
      <c r="D320" s="25">
        <f>F320</f>
        <v>18.4176</v>
      </c>
      <c r="E320" s="25">
        <f>F320</f>
        <v>18.4176</v>
      </c>
      <c r="F320" s="25">
        <f>ROUND(18.4176,4)</f>
        <v>18.4176</v>
      </c>
      <c r="G320" s="24"/>
      <c r="H320" s="36"/>
    </row>
    <row r="321" spans="1:8" ht="12.75" customHeight="1">
      <c r="A321" s="22">
        <v>43724</v>
      </c>
      <c r="B321" s="22"/>
      <c r="C321" s="25">
        <f>ROUND(16.12188645,4)</f>
        <v>16.1219</v>
      </c>
      <c r="D321" s="25">
        <f>F321</f>
        <v>18.8451</v>
      </c>
      <c r="E321" s="25">
        <f>F321</f>
        <v>18.8451</v>
      </c>
      <c r="F321" s="25">
        <f>ROUND(18.8451,4)</f>
        <v>18.8451</v>
      </c>
      <c r="G321" s="24"/>
      <c r="H321" s="36"/>
    </row>
    <row r="322" spans="1:8" ht="12.75" customHeight="1">
      <c r="A322" s="22" t="s">
        <v>71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43087</v>
      </c>
      <c r="B323" s="22"/>
      <c r="C323" s="25">
        <f>ROUND(14.0527823240589,4)</f>
        <v>14.0528</v>
      </c>
      <c r="D323" s="25">
        <f>F323</f>
        <v>14.2744</v>
      </c>
      <c r="E323" s="25">
        <f>F323</f>
        <v>14.2744</v>
      </c>
      <c r="F323" s="25">
        <f>ROUND(14.2744,4)</f>
        <v>14.2744</v>
      </c>
      <c r="G323" s="24"/>
      <c r="H323" s="36"/>
    </row>
    <row r="324" spans="1:8" ht="12.75" customHeight="1">
      <c r="A324" s="22">
        <v>43178</v>
      </c>
      <c r="B324" s="22"/>
      <c r="C324" s="25">
        <f>ROUND(14.0527823240589,4)</f>
        <v>14.0528</v>
      </c>
      <c r="D324" s="25">
        <f>F324</f>
        <v>14.5739</v>
      </c>
      <c r="E324" s="25">
        <f>F324</f>
        <v>14.5739</v>
      </c>
      <c r="F324" s="25">
        <f>ROUND(14.5739,4)</f>
        <v>14.5739</v>
      </c>
      <c r="G324" s="24"/>
      <c r="H324" s="36"/>
    </row>
    <row r="325" spans="1:8" ht="12.75" customHeight="1">
      <c r="A325" s="22">
        <v>43269</v>
      </c>
      <c r="B325" s="22"/>
      <c r="C325" s="25">
        <f>ROUND(14.0527823240589,4)</f>
        <v>14.0528</v>
      </c>
      <c r="D325" s="25">
        <f>F325</f>
        <v>14.8734</v>
      </c>
      <c r="E325" s="25">
        <f>F325</f>
        <v>14.8734</v>
      </c>
      <c r="F325" s="25">
        <f>ROUND(14.8734,4)</f>
        <v>14.8734</v>
      </c>
      <c r="G325" s="24"/>
      <c r="H325" s="36"/>
    </row>
    <row r="326" spans="1:8" ht="12.75" customHeight="1">
      <c r="A326" s="22">
        <v>43360</v>
      </c>
      <c r="B326" s="22"/>
      <c r="C326" s="25">
        <f>ROUND(14.0527823240589,4)</f>
        <v>14.0528</v>
      </c>
      <c r="D326" s="25">
        <f>F326</f>
        <v>15.174</v>
      </c>
      <c r="E326" s="25">
        <f>F326</f>
        <v>15.174</v>
      </c>
      <c r="F326" s="25">
        <f>ROUND(15.174,4)</f>
        <v>15.174</v>
      </c>
      <c r="G326" s="24"/>
      <c r="H326" s="36"/>
    </row>
    <row r="327" spans="1:8" ht="12.75" customHeight="1">
      <c r="A327" s="22">
        <v>43448</v>
      </c>
      <c r="B327" s="22"/>
      <c r="C327" s="25">
        <f>ROUND(14.0527823240589,4)</f>
        <v>14.0528</v>
      </c>
      <c r="D327" s="25">
        <f>F327</f>
        <v>15.4401</v>
      </c>
      <c r="E327" s="25">
        <f>F327</f>
        <v>15.4401</v>
      </c>
      <c r="F327" s="25">
        <f>ROUND(15.4401,4)</f>
        <v>15.4401</v>
      </c>
      <c r="G327" s="24"/>
      <c r="H327" s="36"/>
    </row>
    <row r="328" spans="1:8" ht="12.75" customHeight="1">
      <c r="A328" s="22">
        <v>43542</v>
      </c>
      <c r="B328" s="22"/>
      <c r="C328" s="25">
        <f>ROUND(14.0527823240589,4)</f>
        <v>14.0528</v>
      </c>
      <c r="D328" s="25">
        <f>F328</f>
        <v>16.1333</v>
      </c>
      <c r="E328" s="25">
        <f>F328</f>
        <v>16.1333</v>
      </c>
      <c r="F328" s="25">
        <f>ROUND(16.1333,4)</f>
        <v>16.1333</v>
      </c>
      <c r="G328" s="24"/>
      <c r="H328" s="36"/>
    </row>
    <row r="329" spans="1:8" ht="12.75" customHeight="1">
      <c r="A329" s="22">
        <v>43630</v>
      </c>
      <c r="B329" s="22"/>
      <c r="C329" s="25">
        <f>ROUND(14.0527823240589,4)</f>
        <v>14.0528</v>
      </c>
      <c r="D329" s="25">
        <f>F329</f>
        <v>16.4171</v>
      </c>
      <c r="E329" s="25">
        <f>F329</f>
        <v>16.4171</v>
      </c>
      <c r="F329" s="25">
        <f>ROUND(16.4171,4)</f>
        <v>16.4171</v>
      </c>
      <c r="G329" s="24"/>
      <c r="H329" s="36"/>
    </row>
    <row r="330" spans="1:8" ht="12.75" customHeight="1">
      <c r="A330" s="22">
        <v>43724</v>
      </c>
      <c r="B330" s="22"/>
      <c r="C330" s="25">
        <f>ROUND(14.0527823240589,4)</f>
        <v>14.0528</v>
      </c>
      <c r="D330" s="25">
        <f>F330</f>
        <v>16.7333</v>
      </c>
      <c r="E330" s="25">
        <f>F330</f>
        <v>16.7333</v>
      </c>
      <c r="F330" s="25">
        <f>ROUND(16.7333,4)</f>
        <v>16.7333</v>
      </c>
      <c r="G330" s="24"/>
      <c r="H330" s="36"/>
    </row>
    <row r="331" spans="1:8" ht="12.75" customHeight="1">
      <c r="A331" s="22" t="s">
        <v>72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43087</v>
      </c>
      <c r="B332" s="22"/>
      <c r="C332" s="25">
        <f>ROUND(17.9370197,4)</f>
        <v>17.937</v>
      </c>
      <c r="D332" s="25">
        <f>F332</f>
        <v>18.1765</v>
      </c>
      <c r="E332" s="25">
        <f>F332</f>
        <v>18.1765</v>
      </c>
      <c r="F332" s="25">
        <f>ROUND(18.1765,4)</f>
        <v>18.1765</v>
      </c>
      <c r="G332" s="24"/>
      <c r="H332" s="36"/>
    </row>
    <row r="333" spans="1:8" ht="12.75" customHeight="1">
      <c r="A333" s="22">
        <v>43178</v>
      </c>
      <c r="B333" s="22"/>
      <c r="C333" s="25">
        <f>ROUND(17.9370197,4)</f>
        <v>17.937</v>
      </c>
      <c r="D333" s="25">
        <f>F333</f>
        <v>18.4893</v>
      </c>
      <c r="E333" s="25">
        <f>F333</f>
        <v>18.4893</v>
      </c>
      <c r="F333" s="25">
        <f>ROUND(18.4893,4)</f>
        <v>18.4893</v>
      </c>
      <c r="G333" s="24"/>
      <c r="H333" s="36"/>
    </row>
    <row r="334" spans="1:8" ht="12.75" customHeight="1">
      <c r="A334" s="22">
        <v>43269</v>
      </c>
      <c r="B334" s="22"/>
      <c r="C334" s="25">
        <f>ROUND(17.9370197,4)</f>
        <v>17.937</v>
      </c>
      <c r="D334" s="25">
        <f>F334</f>
        <v>18.7971</v>
      </c>
      <c r="E334" s="25">
        <f>F334</f>
        <v>18.7971</v>
      </c>
      <c r="F334" s="25">
        <f>ROUND(18.7971,4)</f>
        <v>18.7971</v>
      </c>
      <c r="G334" s="24"/>
      <c r="H334" s="36"/>
    </row>
    <row r="335" spans="1:8" ht="12.75" customHeight="1">
      <c r="A335" s="22">
        <v>43360</v>
      </c>
      <c r="B335" s="22"/>
      <c r="C335" s="25">
        <f>ROUND(17.9370197,4)</f>
        <v>17.937</v>
      </c>
      <c r="D335" s="25">
        <f>F335</f>
        <v>19.1023</v>
      </c>
      <c r="E335" s="25">
        <f>F335</f>
        <v>19.1023</v>
      </c>
      <c r="F335" s="25">
        <f>ROUND(19.1023,4)</f>
        <v>19.1023</v>
      </c>
      <c r="G335" s="24"/>
      <c r="H335" s="36"/>
    </row>
    <row r="336" spans="1:8" ht="12.75" customHeight="1">
      <c r="A336" s="22">
        <v>43448</v>
      </c>
      <c r="B336" s="22"/>
      <c r="C336" s="25">
        <f>ROUND(17.9370197,4)</f>
        <v>17.937</v>
      </c>
      <c r="D336" s="25">
        <f>F336</f>
        <v>19.409</v>
      </c>
      <c r="E336" s="25">
        <f>F336</f>
        <v>19.409</v>
      </c>
      <c r="F336" s="25">
        <f>ROUND(19.409,4)</f>
        <v>19.409</v>
      </c>
      <c r="G336" s="24"/>
      <c r="H336" s="36"/>
    </row>
    <row r="337" spans="1:8" ht="12.75" customHeight="1">
      <c r="A337" s="22">
        <v>43542</v>
      </c>
      <c r="B337" s="22"/>
      <c r="C337" s="25">
        <f>ROUND(17.9370197,4)</f>
        <v>17.937</v>
      </c>
      <c r="D337" s="25">
        <f>F337</f>
        <v>19.7401</v>
      </c>
      <c r="E337" s="25">
        <f>F337</f>
        <v>19.7401</v>
      </c>
      <c r="F337" s="25">
        <f>ROUND(19.7401,4)</f>
        <v>19.7401</v>
      </c>
      <c r="G337" s="24"/>
      <c r="H337" s="36"/>
    </row>
    <row r="338" spans="1:8" ht="12.75" customHeight="1">
      <c r="A338" s="22">
        <v>43630</v>
      </c>
      <c r="B338" s="22"/>
      <c r="C338" s="25">
        <f>ROUND(17.9370197,4)</f>
        <v>17.937</v>
      </c>
      <c r="D338" s="25">
        <f>F338</f>
        <v>19.7952</v>
      </c>
      <c r="E338" s="25">
        <f>F338</f>
        <v>19.7952</v>
      </c>
      <c r="F338" s="25">
        <f>ROUND(19.7952,4)</f>
        <v>19.7952</v>
      </c>
      <c r="G338" s="24"/>
      <c r="H338" s="36"/>
    </row>
    <row r="339" spans="1:8" ht="12.75" customHeight="1">
      <c r="A339" s="22">
        <v>43724</v>
      </c>
      <c r="B339" s="22"/>
      <c r="C339" s="25">
        <f>ROUND(17.9370197,4)</f>
        <v>17.937</v>
      </c>
      <c r="D339" s="25">
        <f>F339</f>
        <v>20.3858</v>
      </c>
      <c r="E339" s="25">
        <f>F339</f>
        <v>20.3858</v>
      </c>
      <c r="F339" s="25">
        <f>ROUND(20.3858,4)</f>
        <v>20.3858</v>
      </c>
      <c r="G339" s="24"/>
      <c r="H339" s="36"/>
    </row>
    <row r="340" spans="1:8" ht="12.75" customHeight="1">
      <c r="A340" s="22" t="s">
        <v>73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43087</v>
      </c>
      <c r="B341" s="22"/>
      <c r="C341" s="25">
        <f>ROUND(1.75991698746485,4)</f>
        <v>1.7599</v>
      </c>
      <c r="D341" s="25">
        <f>F341</f>
        <v>1.7829</v>
      </c>
      <c r="E341" s="25">
        <f>F341</f>
        <v>1.7829</v>
      </c>
      <c r="F341" s="25">
        <f>ROUND(1.7829,4)</f>
        <v>1.7829</v>
      </c>
      <c r="G341" s="24"/>
      <c r="H341" s="36"/>
    </row>
    <row r="342" spans="1:8" ht="12.75" customHeight="1">
      <c r="A342" s="22">
        <v>43178</v>
      </c>
      <c r="B342" s="22"/>
      <c r="C342" s="25">
        <f>ROUND(1.75991698746485,4)</f>
        <v>1.7599</v>
      </c>
      <c r="D342" s="25">
        <f>F342</f>
        <v>1.8118</v>
      </c>
      <c r="E342" s="25">
        <f>F342</f>
        <v>1.8118</v>
      </c>
      <c r="F342" s="25">
        <f>ROUND(1.8118,4)</f>
        <v>1.8118</v>
      </c>
      <c r="G342" s="24"/>
      <c r="H342" s="36"/>
    </row>
    <row r="343" spans="1:8" ht="12.75" customHeight="1">
      <c r="A343" s="22">
        <v>43269</v>
      </c>
      <c r="B343" s="22"/>
      <c r="C343" s="25">
        <f>ROUND(1.75991698746485,4)</f>
        <v>1.7599</v>
      </c>
      <c r="D343" s="25">
        <f>F343</f>
        <v>1.8394</v>
      </c>
      <c r="E343" s="25">
        <f>F343</f>
        <v>1.8394</v>
      </c>
      <c r="F343" s="25">
        <f>ROUND(1.8394,4)</f>
        <v>1.8394</v>
      </c>
      <c r="G343" s="24"/>
      <c r="H343" s="36"/>
    </row>
    <row r="344" spans="1:8" ht="12.75" customHeight="1">
      <c r="A344" s="22">
        <v>43360</v>
      </c>
      <c r="B344" s="22"/>
      <c r="C344" s="25">
        <f>ROUND(1.75991698746485,4)</f>
        <v>1.7599</v>
      </c>
      <c r="D344" s="25">
        <f>F344</f>
        <v>1.8661</v>
      </c>
      <c r="E344" s="25">
        <f>F344</f>
        <v>1.8661</v>
      </c>
      <c r="F344" s="25">
        <f>ROUND(1.8661,4)</f>
        <v>1.8661</v>
      </c>
      <c r="G344" s="24"/>
      <c r="H344" s="36"/>
    </row>
    <row r="345" spans="1:8" ht="12.75" customHeight="1">
      <c r="A345" s="22">
        <v>43448</v>
      </c>
      <c r="B345" s="22"/>
      <c r="C345" s="25">
        <f>ROUND(1.75991698746485,4)</f>
        <v>1.7599</v>
      </c>
      <c r="D345" s="25">
        <f>F345</f>
        <v>1.9701</v>
      </c>
      <c r="E345" s="25">
        <f>F345</f>
        <v>1.9701</v>
      </c>
      <c r="F345" s="25">
        <f>ROUND(1.9701,4)</f>
        <v>1.9701</v>
      </c>
      <c r="G345" s="24"/>
      <c r="H345" s="36"/>
    </row>
    <row r="346" spans="1:8" ht="12.75" customHeight="1">
      <c r="A346" s="22">
        <v>43542</v>
      </c>
      <c r="B346" s="22"/>
      <c r="C346" s="25">
        <f>ROUND(1.75991698746485,4)</f>
        <v>1.7599</v>
      </c>
      <c r="D346" s="25">
        <f>F346</f>
        <v>1.9996</v>
      </c>
      <c r="E346" s="25">
        <f>F346</f>
        <v>1.9996</v>
      </c>
      <c r="F346" s="25">
        <f>ROUND(1.9996,4)</f>
        <v>1.9996</v>
      </c>
      <c r="G346" s="24"/>
      <c r="H346" s="36"/>
    </row>
    <row r="347" spans="1:8" ht="12.75" customHeight="1">
      <c r="A347" s="22">
        <v>43630</v>
      </c>
      <c r="B347" s="22"/>
      <c r="C347" s="25">
        <f>ROUND(1.75991698746485,4)</f>
        <v>1.7599</v>
      </c>
      <c r="D347" s="25">
        <f>F347</f>
        <v>2.0323</v>
      </c>
      <c r="E347" s="25">
        <f>F347</f>
        <v>2.0323</v>
      </c>
      <c r="F347" s="25">
        <f>ROUND(2.0323,4)</f>
        <v>2.0323</v>
      </c>
      <c r="G347" s="24"/>
      <c r="H347" s="36"/>
    </row>
    <row r="348" spans="1:8" ht="12.75" customHeight="1">
      <c r="A348" s="22">
        <v>43724</v>
      </c>
      <c r="B348" s="22"/>
      <c r="C348" s="25">
        <f>ROUND(1.75991698746485,4)</f>
        <v>1.7599</v>
      </c>
      <c r="D348" s="25">
        <f>F348</f>
        <v>2.0632</v>
      </c>
      <c r="E348" s="25">
        <f>F348</f>
        <v>2.0632</v>
      </c>
      <c r="F348" s="25">
        <f>ROUND(2.0632,4)</f>
        <v>2.0632</v>
      </c>
      <c r="G348" s="24"/>
      <c r="H348" s="36"/>
    </row>
    <row r="349" spans="1:8" ht="12.75" customHeight="1">
      <c r="A349" s="22" t="s">
        <v>74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43087</v>
      </c>
      <c r="B350" s="22"/>
      <c r="C350" s="28">
        <f>ROUND(0.12179617890864,6)</f>
        <v>0.121796</v>
      </c>
      <c r="D350" s="28">
        <f>F350</f>
        <v>0.123556</v>
      </c>
      <c r="E350" s="28">
        <f>F350</f>
        <v>0.123556</v>
      </c>
      <c r="F350" s="28">
        <f>ROUND(0.123556,6)</f>
        <v>0.123556</v>
      </c>
      <c r="G350" s="24"/>
      <c r="H350" s="36"/>
    </row>
    <row r="351" spans="1:8" ht="12.75" customHeight="1">
      <c r="A351" s="22">
        <v>43178</v>
      </c>
      <c r="B351" s="22"/>
      <c r="C351" s="28">
        <f>ROUND(0.12179617890864,6)</f>
        <v>0.121796</v>
      </c>
      <c r="D351" s="28">
        <f>F351</f>
        <v>0.125971</v>
      </c>
      <c r="E351" s="28">
        <f>F351</f>
        <v>0.125971</v>
      </c>
      <c r="F351" s="28">
        <f>ROUND(0.125971,6)</f>
        <v>0.125971</v>
      </c>
      <c r="G351" s="24"/>
      <c r="H351" s="36"/>
    </row>
    <row r="352" spans="1:8" ht="12.75" customHeight="1">
      <c r="A352" s="22">
        <v>43269</v>
      </c>
      <c r="B352" s="22"/>
      <c r="C352" s="28">
        <f>ROUND(0.12179617890864,6)</f>
        <v>0.121796</v>
      </c>
      <c r="D352" s="28">
        <f>F352</f>
        <v>0.128381</v>
      </c>
      <c r="E352" s="28">
        <f>F352</f>
        <v>0.128381</v>
      </c>
      <c r="F352" s="28">
        <f>ROUND(0.128381,6)</f>
        <v>0.128381</v>
      </c>
      <c r="G352" s="24"/>
      <c r="H352" s="36"/>
    </row>
    <row r="353" spans="1:8" ht="12.75" customHeight="1">
      <c r="A353" s="22">
        <v>43360</v>
      </c>
      <c r="B353" s="22"/>
      <c r="C353" s="28">
        <f>ROUND(0.12179617890864,6)</f>
        <v>0.121796</v>
      </c>
      <c r="D353" s="28">
        <f>F353</f>
        <v>0.130837</v>
      </c>
      <c r="E353" s="28">
        <f>F353</f>
        <v>0.130837</v>
      </c>
      <c r="F353" s="28">
        <f>ROUND(0.130837,6)</f>
        <v>0.130837</v>
      </c>
      <c r="G353" s="24"/>
      <c r="H353" s="36"/>
    </row>
    <row r="354" spans="1:8" ht="12.75" customHeight="1">
      <c r="A354" s="22">
        <v>43448</v>
      </c>
      <c r="B354" s="22"/>
      <c r="C354" s="28">
        <f>ROUND(0.12179617890864,6)</f>
        <v>0.121796</v>
      </c>
      <c r="D354" s="28">
        <f>F354</f>
        <v>0.133368</v>
      </c>
      <c r="E354" s="28">
        <f>F354</f>
        <v>0.133368</v>
      </c>
      <c r="F354" s="28">
        <f>ROUND(0.133368,6)</f>
        <v>0.133368</v>
      </c>
      <c r="G354" s="24"/>
      <c r="H354" s="36"/>
    </row>
    <row r="355" spans="1:8" ht="12.75" customHeight="1">
      <c r="A355" s="22">
        <v>43542</v>
      </c>
      <c r="B355" s="22"/>
      <c r="C355" s="28">
        <f>ROUND(0.12179617890864,6)</f>
        <v>0.121796</v>
      </c>
      <c r="D355" s="28">
        <f>F355</f>
        <v>0.139744</v>
      </c>
      <c r="E355" s="28">
        <f>F355</f>
        <v>0.139744</v>
      </c>
      <c r="F355" s="28">
        <f>ROUND(0.139744,6)</f>
        <v>0.139744</v>
      </c>
      <c r="G355" s="24"/>
      <c r="H355" s="36"/>
    </row>
    <row r="356" spans="1:8" ht="12.75" customHeight="1">
      <c r="A356" s="22">
        <v>43630</v>
      </c>
      <c r="B356" s="22"/>
      <c r="C356" s="28">
        <f>ROUND(0.12179617890864,6)</f>
        <v>0.121796</v>
      </c>
      <c r="D356" s="28">
        <f>F356</f>
        <v>0.141962</v>
      </c>
      <c r="E356" s="28">
        <f>F356</f>
        <v>0.141962</v>
      </c>
      <c r="F356" s="28">
        <f>ROUND(0.141962,6)</f>
        <v>0.141962</v>
      </c>
      <c r="G356" s="24"/>
      <c r="H356" s="36"/>
    </row>
    <row r="357" spans="1:8" ht="12.75" customHeight="1">
      <c r="A357" s="22">
        <v>43724</v>
      </c>
      <c r="B357" s="22"/>
      <c r="C357" s="28">
        <f>ROUND(0.12179617890864,6)</f>
        <v>0.121796</v>
      </c>
      <c r="D357" s="28">
        <f>F357</f>
        <v>0.144189</v>
      </c>
      <c r="E357" s="28">
        <f>F357</f>
        <v>0.144189</v>
      </c>
      <c r="F357" s="28">
        <f>ROUND(0.144189,6)</f>
        <v>0.144189</v>
      </c>
      <c r="G357" s="24"/>
      <c r="H357" s="36"/>
    </row>
    <row r="358" spans="1:8" ht="12.75" customHeight="1">
      <c r="A358" s="22" t="s">
        <v>75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43087</v>
      </c>
      <c r="B359" s="22"/>
      <c r="C359" s="25">
        <f>ROUND(0.13302992156483,4)</f>
        <v>0.133</v>
      </c>
      <c r="D359" s="25">
        <f>F359</f>
        <v>0.1328</v>
      </c>
      <c r="E359" s="25">
        <f>F359</f>
        <v>0.1328</v>
      </c>
      <c r="F359" s="25">
        <f>ROUND(0.1328,4)</f>
        <v>0.1328</v>
      </c>
      <c r="G359" s="24"/>
      <c r="H359" s="36"/>
    </row>
    <row r="360" spans="1:8" ht="12.75" customHeight="1">
      <c r="A360" s="22">
        <v>43178</v>
      </c>
      <c r="B360" s="22"/>
      <c r="C360" s="25">
        <f>ROUND(0.13302992156483,4)</f>
        <v>0.133</v>
      </c>
      <c r="D360" s="25">
        <f>F360</f>
        <v>0.1324</v>
      </c>
      <c r="E360" s="25">
        <f>F360</f>
        <v>0.1324</v>
      </c>
      <c r="F360" s="25">
        <f>ROUND(0.1324,4)</f>
        <v>0.1324</v>
      </c>
      <c r="G360" s="24"/>
      <c r="H360" s="36"/>
    </row>
    <row r="361" spans="1:8" ht="12.75" customHeight="1">
      <c r="A361" s="22">
        <v>43269</v>
      </c>
      <c r="B361" s="22"/>
      <c r="C361" s="25">
        <f>ROUND(0.13302992156483,4)</f>
        <v>0.133</v>
      </c>
      <c r="D361" s="25">
        <f>F361</f>
        <v>0.1317</v>
      </c>
      <c r="E361" s="25">
        <f>F361</f>
        <v>0.1317</v>
      </c>
      <c r="F361" s="25">
        <f>ROUND(0.1317,4)</f>
        <v>0.1317</v>
      </c>
      <c r="G361" s="24"/>
      <c r="H361" s="36"/>
    </row>
    <row r="362" spans="1:8" ht="12.75" customHeight="1">
      <c r="A362" s="22">
        <v>43360</v>
      </c>
      <c r="B362" s="22"/>
      <c r="C362" s="25">
        <f>ROUND(0.13302992156483,4)</f>
        <v>0.133</v>
      </c>
      <c r="D362" s="25">
        <f>F362</f>
        <v>0.1299</v>
      </c>
      <c r="E362" s="25">
        <f>F362</f>
        <v>0.1299</v>
      </c>
      <c r="F362" s="25">
        <f>ROUND(0.1299,4)</f>
        <v>0.1299</v>
      </c>
      <c r="G362" s="24"/>
      <c r="H362" s="36"/>
    </row>
    <row r="363" spans="1:8" ht="12.75" customHeight="1">
      <c r="A363" s="22">
        <v>43448</v>
      </c>
      <c r="B363" s="22"/>
      <c r="C363" s="25">
        <f>ROUND(0.13302992156483,4)</f>
        <v>0.133</v>
      </c>
      <c r="D363" s="25">
        <f>F363</f>
        <v>0.1279</v>
      </c>
      <c r="E363" s="25">
        <f>F363</f>
        <v>0.1279</v>
      </c>
      <c r="F363" s="25">
        <f>ROUND(0.1279,4)</f>
        <v>0.1279</v>
      </c>
      <c r="G363" s="24"/>
      <c r="H363" s="36"/>
    </row>
    <row r="364" spans="1:8" ht="12.75" customHeight="1">
      <c r="A364" s="22">
        <v>43542</v>
      </c>
      <c r="B364" s="22"/>
      <c r="C364" s="25">
        <f>ROUND(0.13302992156483,4)</f>
        <v>0.133</v>
      </c>
      <c r="D364" s="25">
        <f>F364</f>
        <v>0.126</v>
      </c>
      <c r="E364" s="25">
        <f>F364</f>
        <v>0.126</v>
      </c>
      <c r="F364" s="25">
        <f>ROUND(0.126,4)</f>
        <v>0.126</v>
      </c>
      <c r="G364" s="24"/>
      <c r="H364" s="36"/>
    </row>
    <row r="365" spans="1:8" ht="12.75" customHeight="1">
      <c r="A365" s="22">
        <v>43630</v>
      </c>
      <c r="B365" s="22"/>
      <c r="C365" s="25">
        <f>ROUND(0.13302992156483,4)</f>
        <v>0.133</v>
      </c>
      <c r="D365" s="25">
        <f>F365</f>
        <v>0.124</v>
      </c>
      <c r="E365" s="25">
        <f>F365</f>
        <v>0.124</v>
      </c>
      <c r="F365" s="25">
        <f>ROUND(0.124,4)</f>
        <v>0.124</v>
      </c>
      <c r="G365" s="24"/>
      <c r="H365" s="36"/>
    </row>
    <row r="366" spans="1:8" ht="12.75" customHeight="1">
      <c r="A366" s="22">
        <v>43724</v>
      </c>
      <c r="B366" s="22"/>
      <c r="C366" s="25">
        <f>ROUND(0.13302992156483,4)</f>
        <v>0.133</v>
      </c>
      <c r="D366" s="25">
        <f>F366</f>
        <v>0.1191</v>
      </c>
      <c r="E366" s="25">
        <f>F366</f>
        <v>0.1191</v>
      </c>
      <c r="F366" s="25">
        <f>ROUND(0.1191,4)</f>
        <v>0.1191</v>
      </c>
      <c r="G366" s="24"/>
      <c r="H366" s="36"/>
    </row>
    <row r="367" spans="1:8" ht="12.75" customHeight="1">
      <c r="A367" s="22" t="s">
        <v>76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43087</v>
      </c>
      <c r="B368" s="22"/>
      <c r="C368" s="25">
        <f>ROUND(1.71482780572441,4)</f>
        <v>1.7148</v>
      </c>
      <c r="D368" s="25">
        <f>F368</f>
        <v>1.7401</v>
      </c>
      <c r="E368" s="25">
        <f>F368</f>
        <v>1.7401</v>
      </c>
      <c r="F368" s="25">
        <f>ROUND(1.7401,4)</f>
        <v>1.7401</v>
      </c>
      <c r="G368" s="24"/>
      <c r="H368" s="36"/>
    </row>
    <row r="369" spans="1:8" ht="12.75" customHeight="1">
      <c r="A369" s="22">
        <v>43178</v>
      </c>
      <c r="B369" s="22"/>
      <c r="C369" s="25">
        <f>ROUND(1.71482780572441,4)</f>
        <v>1.7148</v>
      </c>
      <c r="D369" s="25">
        <f>F369</f>
        <v>1.7693</v>
      </c>
      <c r="E369" s="25">
        <f>F369</f>
        <v>1.7693</v>
      </c>
      <c r="F369" s="25">
        <f>ROUND(1.7693,4)</f>
        <v>1.7693</v>
      </c>
      <c r="G369" s="24"/>
      <c r="H369" s="36"/>
    </row>
    <row r="370" spans="1:8" ht="12.75" customHeight="1">
      <c r="A370" s="22">
        <v>43269</v>
      </c>
      <c r="B370" s="22"/>
      <c r="C370" s="25">
        <f>ROUND(1.71482780572441,4)</f>
        <v>1.7148</v>
      </c>
      <c r="D370" s="25">
        <f>F370</f>
        <v>1.7979</v>
      </c>
      <c r="E370" s="25">
        <f>F370</f>
        <v>1.7979</v>
      </c>
      <c r="F370" s="25">
        <f>ROUND(1.7979,4)</f>
        <v>1.7979</v>
      </c>
      <c r="G370" s="24"/>
      <c r="H370" s="36"/>
    </row>
    <row r="371" spans="1:8" ht="12.75" customHeight="1">
      <c r="A371" s="22">
        <v>43360</v>
      </c>
      <c r="B371" s="22"/>
      <c r="C371" s="25">
        <f>ROUND(1.71482780572441,4)</f>
        <v>1.7148</v>
      </c>
      <c r="D371" s="25">
        <f>F371</f>
        <v>1.8256</v>
      </c>
      <c r="E371" s="25">
        <f>F371</f>
        <v>1.8256</v>
      </c>
      <c r="F371" s="25">
        <f>ROUND(1.8256,4)</f>
        <v>1.8256</v>
      </c>
      <c r="G371" s="24"/>
      <c r="H371" s="36"/>
    </row>
    <row r="372" spans="1:8" ht="12.75" customHeight="1">
      <c r="A372" s="22">
        <v>43630</v>
      </c>
      <c r="B372" s="22"/>
      <c r="C372" s="25">
        <f>ROUND(1.71482780572441,4)</f>
        <v>1.7148</v>
      </c>
      <c r="D372" s="25">
        <f>F372</f>
        <v>1.9179</v>
      </c>
      <c r="E372" s="25">
        <f>F372</f>
        <v>1.9179</v>
      </c>
      <c r="F372" s="25">
        <v>1.9179</v>
      </c>
      <c r="G372" s="24"/>
      <c r="H372" s="36"/>
    </row>
    <row r="373" spans="1:8" ht="12.75" customHeight="1">
      <c r="A373" s="22">
        <v>43724</v>
      </c>
      <c r="B373" s="22"/>
      <c r="C373" s="25">
        <f>ROUND(1.71482780572441,4)</f>
        <v>1.7148</v>
      </c>
      <c r="D373" s="25">
        <f>F373</f>
        <v>1.9513</v>
      </c>
      <c r="E373" s="25">
        <f>F373</f>
        <v>1.9513</v>
      </c>
      <c r="F373" s="25">
        <f>ROUND(1.9513,4)</f>
        <v>1.9513</v>
      </c>
      <c r="G373" s="24"/>
      <c r="H373" s="36"/>
    </row>
    <row r="374" spans="1:8" ht="12.75" customHeight="1">
      <c r="A374" s="22" t="s">
        <v>77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43087</v>
      </c>
      <c r="B375" s="22"/>
      <c r="C375" s="25">
        <f>ROUND(9.7429896,4)</f>
        <v>9.743</v>
      </c>
      <c r="D375" s="25">
        <f>F375</f>
        <v>9.8398</v>
      </c>
      <c r="E375" s="25">
        <f>F375</f>
        <v>9.8398</v>
      </c>
      <c r="F375" s="25">
        <f>ROUND(9.8398,4)</f>
        <v>9.8398</v>
      </c>
      <c r="G375" s="24"/>
      <c r="H375" s="36"/>
    </row>
    <row r="376" spans="1:8" ht="12.75" customHeight="1">
      <c r="A376" s="22">
        <v>43178</v>
      </c>
      <c r="B376" s="22"/>
      <c r="C376" s="25">
        <f>ROUND(9.7429896,4)</f>
        <v>9.743</v>
      </c>
      <c r="D376" s="25">
        <f>F376</f>
        <v>9.9664</v>
      </c>
      <c r="E376" s="25">
        <f>F376</f>
        <v>9.9664</v>
      </c>
      <c r="F376" s="25">
        <f>ROUND(9.9664,4)</f>
        <v>9.9664</v>
      </c>
      <c r="G376" s="24"/>
      <c r="H376" s="36"/>
    </row>
    <row r="377" spans="1:8" ht="12.75" customHeight="1">
      <c r="A377" s="22">
        <v>43269</v>
      </c>
      <c r="B377" s="22"/>
      <c r="C377" s="25">
        <f>ROUND(9.7429896,4)</f>
        <v>9.743</v>
      </c>
      <c r="D377" s="25">
        <f>F377</f>
        <v>10.0918</v>
      </c>
      <c r="E377" s="25">
        <f>F377</f>
        <v>10.0918</v>
      </c>
      <c r="F377" s="25">
        <f>ROUND(10.0918,4)</f>
        <v>10.0918</v>
      </c>
      <c r="G377" s="24"/>
      <c r="H377" s="36"/>
    </row>
    <row r="378" spans="1:8" ht="12.75" customHeight="1">
      <c r="A378" s="22">
        <v>43360</v>
      </c>
      <c r="B378" s="22"/>
      <c r="C378" s="25">
        <f>ROUND(9.7429896,4)</f>
        <v>9.743</v>
      </c>
      <c r="D378" s="25">
        <f>F378</f>
        <v>10.2155</v>
      </c>
      <c r="E378" s="25">
        <f>F378</f>
        <v>10.2155</v>
      </c>
      <c r="F378" s="25">
        <f>ROUND(10.2155,4)</f>
        <v>10.2155</v>
      </c>
      <c r="G378" s="24"/>
      <c r="H378" s="36"/>
    </row>
    <row r="379" spans="1:8" ht="12.75" customHeight="1">
      <c r="A379" s="22">
        <v>43448</v>
      </c>
      <c r="B379" s="22"/>
      <c r="C379" s="25">
        <f>ROUND(9.7429896,4)</f>
        <v>9.743</v>
      </c>
      <c r="D379" s="25">
        <f>F379</f>
        <v>10.7638</v>
      </c>
      <c r="E379" s="25">
        <f>F379</f>
        <v>10.7638</v>
      </c>
      <c r="F379" s="25">
        <f>ROUND(10.7638,4)</f>
        <v>10.7638</v>
      </c>
      <c r="G379" s="24"/>
      <c r="H379" s="36"/>
    </row>
    <row r="380" spans="1:8" ht="12.75" customHeight="1">
      <c r="A380" s="22">
        <v>43542</v>
      </c>
      <c r="B380" s="22"/>
      <c r="C380" s="25">
        <f>ROUND(9.7429896,4)</f>
        <v>9.743</v>
      </c>
      <c r="D380" s="25">
        <f>F380</f>
        <v>10.9031</v>
      </c>
      <c r="E380" s="25">
        <f>F380</f>
        <v>10.9031</v>
      </c>
      <c r="F380" s="25">
        <f>ROUND(10.9031,4)</f>
        <v>10.9031</v>
      </c>
      <c r="G380" s="24"/>
      <c r="H380" s="36"/>
    </row>
    <row r="381" spans="1:8" ht="12.75" customHeight="1">
      <c r="A381" s="22">
        <v>43630</v>
      </c>
      <c r="B381" s="22"/>
      <c r="C381" s="25">
        <f>ROUND(9.7429896,4)</f>
        <v>9.743</v>
      </c>
      <c r="D381" s="25">
        <f>F381</f>
        <v>11.0605</v>
      </c>
      <c r="E381" s="25">
        <f>F381</f>
        <v>11.0605</v>
      </c>
      <c r="F381" s="25">
        <f>ROUND(11.0605,4)</f>
        <v>11.0605</v>
      </c>
      <c r="G381" s="24"/>
      <c r="H381" s="36"/>
    </row>
    <row r="382" spans="1:8" ht="12.75" customHeight="1">
      <c r="A382" s="22">
        <v>43724</v>
      </c>
      <c r="B382" s="22"/>
      <c r="C382" s="25">
        <f>ROUND(9.7429896,4)</f>
        <v>9.743</v>
      </c>
      <c r="D382" s="25">
        <f>F382</f>
        <v>11.2059</v>
      </c>
      <c r="E382" s="25">
        <f>F382</f>
        <v>11.2059</v>
      </c>
      <c r="F382" s="25">
        <f>ROUND(11.2059,4)</f>
        <v>11.2059</v>
      </c>
      <c r="G382" s="24"/>
      <c r="H382" s="36"/>
    </row>
    <row r="383" spans="1:8" ht="12.75" customHeight="1">
      <c r="A383" s="22" t="s">
        <v>78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43087</v>
      </c>
      <c r="B384" s="22"/>
      <c r="C384" s="25">
        <f>ROUND(10.0626258926936,4)</f>
        <v>10.0626</v>
      </c>
      <c r="D384" s="25">
        <f>F384</f>
        <v>10.1837</v>
      </c>
      <c r="E384" s="25">
        <f>F384</f>
        <v>10.1837</v>
      </c>
      <c r="F384" s="25">
        <f>ROUND(10.1837,4)</f>
        <v>10.1837</v>
      </c>
      <c r="G384" s="24"/>
      <c r="H384" s="36"/>
    </row>
    <row r="385" spans="1:8" ht="12.75" customHeight="1">
      <c r="A385" s="22">
        <v>43178</v>
      </c>
      <c r="B385" s="22"/>
      <c r="C385" s="25">
        <f>ROUND(10.0626258926936,4)</f>
        <v>10.0626</v>
      </c>
      <c r="D385" s="25">
        <f>F385</f>
        <v>10.3411</v>
      </c>
      <c r="E385" s="25">
        <f>F385</f>
        <v>10.3411</v>
      </c>
      <c r="F385" s="25">
        <f>ROUND(10.3411,4)</f>
        <v>10.3411</v>
      </c>
      <c r="G385" s="24"/>
      <c r="H385" s="36"/>
    </row>
    <row r="386" spans="1:8" ht="12.75" customHeight="1">
      <c r="A386" s="22">
        <v>43269</v>
      </c>
      <c r="B386" s="22"/>
      <c r="C386" s="25">
        <f>ROUND(10.0626258926936,4)</f>
        <v>10.0626</v>
      </c>
      <c r="D386" s="25">
        <f>F386</f>
        <v>10.4972</v>
      </c>
      <c r="E386" s="25">
        <f>F386</f>
        <v>10.4972</v>
      </c>
      <c r="F386" s="25">
        <f>ROUND(10.4972,4)</f>
        <v>10.4972</v>
      </c>
      <c r="G386" s="24"/>
      <c r="H386" s="36"/>
    </row>
    <row r="387" spans="1:8" ht="12.75" customHeight="1">
      <c r="A387" s="22">
        <v>43360</v>
      </c>
      <c r="B387" s="22"/>
      <c r="C387" s="25">
        <f>ROUND(10.0626258926936,4)</f>
        <v>10.0626</v>
      </c>
      <c r="D387" s="25">
        <f>F387</f>
        <v>10.6521</v>
      </c>
      <c r="E387" s="25">
        <f>F387</f>
        <v>10.6521</v>
      </c>
      <c r="F387" s="25">
        <f>ROUND(10.6521,4)</f>
        <v>10.6521</v>
      </c>
      <c r="G387" s="24"/>
      <c r="H387" s="36"/>
    </row>
    <row r="388" spans="1:8" ht="12.75" customHeight="1">
      <c r="A388" s="22">
        <v>43448</v>
      </c>
      <c r="B388" s="22"/>
      <c r="C388" s="25">
        <f>ROUND(10.0626258926936,4)</f>
        <v>10.0626</v>
      </c>
      <c r="D388" s="25">
        <f>F388</f>
        <v>11.2516</v>
      </c>
      <c r="E388" s="25">
        <f>F388</f>
        <v>11.2516</v>
      </c>
      <c r="F388" s="25">
        <f>ROUND(11.2516,4)</f>
        <v>11.2516</v>
      </c>
      <c r="G388" s="24"/>
      <c r="H388" s="36"/>
    </row>
    <row r="389" spans="1:8" ht="12.75" customHeight="1">
      <c r="A389" s="22">
        <v>43542</v>
      </c>
      <c r="B389" s="22"/>
      <c r="C389" s="25">
        <f>ROUND(10.0626258926936,4)</f>
        <v>10.0626</v>
      </c>
      <c r="D389" s="25">
        <f>F389</f>
        <v>11.4172</v>
      </c>
      <c r="E389" s="25">
        <f>F389</f>
        <v>11.4172</v>
      </c>
      <c r="F389" s="25">
        <f>ROUND(11.4172,4)</f>
        <v>11.4172</v>
      </c>
      <c r="G389" s="24"/>
      <c r="H389" s="36"/>
    </row>
    <row r="390" spans="1:8" ht="12.75" customHeight="1">
      <c r="A390" s="22">
        <v>43630</v>
      </c>
      <c r="B390" s="22"/>
      <c r="C390" s="25">
        <f>ROUND(10.0626258926936,4)</f>
        <v>10.0626</v>
      </c>
      <c r="D390" s="25">
        <f>F390</f>
        <v>11.6149</v>
      </c>
      <c r="E390" s="25">
        <f>F390</f>
        <v>11.6149</v>
      </c>
      <c r="F390" s="25">
        <f>ROUND(11.6149,4)</f>
        <v>11.6149</v>
      </c>
      <c r="G390" s="24"/>
      <c r="H390" s="36"/>
    </row>
    <row r="391" spans="1:8" ht="12.75" customHeight="1">
      <c r="A391" s="22">
        <v>43724</v>
      </c>
      <c r="B391" s="22"/>
      <c r="C391" s="25">
        <f>ROUND(10.0626258926936,4)</f>
        <v>10.0626</v>
      </c>
      <c r="D391" s="25">
        <f>F391</f>
        <v>11.7843</v>
      </c>
      <c r="E391" s="25">
        <f>F391</f>
        <v>11.7843</v>
      </c>
      <c r="F391" s="25">
        <f>ROUND(11.7843,4)</f>
        <v>11.7843</v>
      </c>
      <c r="G391" s="24"/>
      <c r="H391" s="36"/>
    </row>
    <row r="392" spans="1:8" ht="12.75" customHeight="1">
      <c r="A392" s="22" t="s">
        <v>79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43087</v>
      </c>
      <c r="B393" s="22"/>
      <c r="C393" s="25">
        <f>ROUND(3.80022406329096,4)</f>
        <v>3.8002</v>
      </c>
      <c r="D393" s="25">
        <f>F393</f>
        <v>3.7671</v>
      </c>
      <c r="E393" s="25">
        <f>F393</f>
        <v>3.7671</v>
      </c>
      <c r="F393" s="25">
        <f>ROUND(3.7671,4)</f>
        <v>3.7671</v>
      </c>
      <c r="G393" s="24"/>
      <c r="H393" s="36"/>
    </row>
    <row r="394" spans="1:8" ht="12.75" customHeight="1">
      <c r="A394" s="22">
        <v>43178</v>
      </c>
      <c r="B394" s="22"/>
      <c r="C394" s="25">
        <f>ROUND(3.80022406329096,4)</f>
        <v>3.8002</v>
      </c>
      <c r="D394" s="25">
        <f>F394</f>
        <v>3.7249</v>
      </c>
      <c r="E394" s="25">
        <f>F394</f>
        <v>3.7249</v>
      </c>
      <c r="F394" s="25">
        <f>ROUND(3.7249,4)</f>
        <v>3.7249</v>
      </c>
      <c r="G394" s="24"/>
      <c r="H394" s="36"/>
    </row>
    <row r="395" spans="1:8" ht="12.75" customHeight="1">
      <c r="A395" s="22">
        <v>43269</v>
      </c>
      <c r="B395" s="22"/>
      <c r="C395" s="25">
        <f>ROUND(3.80022406329096,4)</f>
        <v>3.8002</v>
      </c>
      <c r="D395" s="25">
        <f>F395</f>
        <v>3.685</v>
      </c>
      <c r="E395" s="25">
        <f>F395</f>
        <v>3.685</v>
      </c>
      <c r="F395" s="25">
        <f>ROUND(3.685,4)</f>
        <v>3.685</v>
      </c>
      <c r="G395" s="24"/>
      <c r="H395" s="36"/>
    </row>
    <row r="396" spans="1:8" ht="12.75" customHeight="1">
      <c r="A396" s="22">
        <v>43360</v>
      </c>
      <c r="B396" s="22"/>
      <c r="C396" s="25">
        <f>ROUND(3.80022406329096,4)</f>
        <v>3.8002</v>
      </c>
      <c r="D396" s="25">
        <f>F396</f>
        <v>3.6487</v>
      </c>
      <c r="E396" s="25">
        <f>F396</f>
        <v>3.6487</v>
      </c>
      <c r="F396" s="25">
        <f>ROUND(3.6487,4)</f>
        <v>3.6487</v>
      </c>
      <c r="G396" s="24"/>
      <c r="H396" s="36"/>
    </row>
    <row r="397" spans="1:8" ht="12.75" customHeight="1">
      <c r="A397" s="22">
        <v>43448</v>
      </c>
      <c r="B397" s="22"/>
      <c r="C397" s="25">
        <f>ROUND(3.80022406329096,4)</f>
        <v>3.8002</v>
      </c>
      <c r="D397" s="25">
        <f>F397</f>
        <v>3.7662</v>
      </c>
      <c r="E397" s="25">
        <f>F397</f>
        <v>3.7662</v>
      </c>
      <c r="F397" s="25">
        <f>ROUND(3.7662,4)</f>
        <v>3.7662</v>
      </c>
      <c r="G397" s="24"/>
      <c r="H397" s="36"/>
    </row>
    <row r="398" spans="1:8" ht="12.75" customHeight="1">
      <c r="A398" s="22">
        <v>43542</v>
      </c>
      <c r="B398" s="22"/>
      <c r="C398" s="25">
        <f>ROUND(3.80022406329096,4)</f>
        <v>3.8002</v>
      </c>
      <c r="D398" s="25">
        <f>F398</f>
        <v>3.7338</v>
      </c>
      <c r="E398" s="25">
        <f>F398</f>
        <v>3.7338</v>
      </c>
      <c r="F398" s="25">
        <f>ROUND(3.7338,4)</f>
        <v>3.7338</v>
      </c>
      <c r="G398" s="24"/>
      <c r="H398" s="36"/>
    </row>
    <row r="399" spans="1:8" ht="12.75" customHeight="1">
      <c r="A399" s="22">
        <v>43630</v>
      </c>
      <c r="B399" s="22"/>
      <c r="C399" s="25">
        <f>ROUND(3.80022406329096,4)</f>
        <v>3.8002</v>
      </c>
      <c r="D399" s="25">
        <f>F399</f>
        <v>3.714</v>
      </c>
      <c r="E399" s="25">
        <f>F399</f>
        <v>3.714</v>
      </c>
      <c r="F399" s="25">
        <f>ROUND(3.714,4)</f>
        <v>3.714</v>
      </c>
      <c r="G399" s="24"/>
      <c r="H399" s="36"/>
    </row>
    <row r="400" spans="1:8" ht="12.75" customHeight="1">
      <c r="A400" s="22">
        <v>43724</v>
      </c>
      <c r="B400" s="22"/>
      <c r="C400" s="25">
        <f>ROUND(3.80022406329096,4)</f>
        <v>3.8002</v>
      </c>
      <c r="D400" s="25">
        <f>F400</f>
        <v>3.6863</v>
      </c>
      <c r="E400" s="25">
        <f>F400</f>
        <v>3.6863</v>
      </c>
      <c r="F400" s="25">
        <f>ROUND(3.6863,4)</f>
        <v>3.6863</v>
      </c>
      <c r="G400" s="24"/>
      <c r="H400" s="36"/>
    </row>
    <row r="401" spans="1:8" ht="12.75" customHeight="1">
      <c r="A401" s="22" t="s">
        <v>80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43087</v>
      </c>
      <c r="B402" s="22"/>
      <c r="C402" s="25">
        <f>ROUND(13.738,4)</f>
        <v>13.738</v>
      </c>
      <c r="D402" s="25">
        <f>F402</f>
        <v>13.8925</v>
      </c>
      <c r="E402" s="25">
        <f>F402</f>
        <v>13.8925</v>
      </c>
      <c r="F402" s="25">
        <f>ROUND(13.8925,4)</f>
        <v>13.8925</v>
      </c>
      <c r="G402" s="24"/>
      <c r="H402" s="36"/>
    </row>
    <row r="403" spans="1:8" ht="12.75" customHeight="1">
      <c r="A403" s="22">
        <v>43178</v>
      </c>
      <c r="B403" s="22"/>
      <c r="C403" s="25">
        <f>ROUND(13.738,4)</f>
        <v>13.738</v>
      </c>
      <c r="D403" s="25">
        <f>F403</f>
        <v>14.0898</v>
      </c>
      <c r="E403" s="25">
        <f>F403</f>
        <v>14.0898</v>
      </c>
      <c r="F403" s="25">
        <f>ROUND(14.0898,4)</f>
        <v>14.0898</v>
      </c>
      <c r="G403" s="24"/>
      <c r="H403" s="36"/>
    </row>
    <row r="404" spans="1:8" ht="12.75" customHeight="1">
      <c r="A404" s="22">
        <v>43269</v>
      </c>
      <c r="B404" s="22"/>
      <c r="C404" s="25">
        <f>ROUND(13.738,4)</f>
        <v>13.738</v>
      </c>
      <c r="D404" s="25">
        <f>F404</f>
        <v>14.2835</v>
      </c>
      <c r="E404" s="25">
        <f>F404</f>
        <v>14.2835</v>
      </c>
      <c r="F404" s="25">
        <f>ROUND(14.2835,4)</f>
        <v>14.2835</v>
      </c>
      <c r="G404" s="24"/>
      <c r="H404" s="36"/>
    </row>
    <row r="405" spans="1:8" ht="12.75" customHeight="1">
      <c r="A405" s="22">
        <v>43360</v>
      </c>
      <c r="B405" s="22"/>
      <c r="C405" s="25">
        <f>ROUND(13.738,4)</f>
        <v>13.738</v>
      </c>
      <c r="D405" s="25">
        <f>F405</f>
        <v>14.4752</v>
      </c>
      <c r="E405" s="25">
        <f>F405</f>
        <v>14.4752</v>
      </c>
      <c r="F405" s="25">
        <f>ROUND(14.4752,4)</f>
        <v>14.4752</v>
      </c>
      <c r="G405" s="24"/>
      <c r="H405" s="36"/>
    </row>
    <row r="406" spans="1:8" ht="12.75" customHeight="1">
      <c r="A406" s="22">
        <v>43630</v>
      </c>
      <c r="B406" s="22"/>
      <c r="C406" s="25">
        <f>ROUND(13.738,4)</f>
        <v>13.738</v>
      </c>
      <c r="D406" s="25">
        <f>F406</f>
        <v>15.0641</v>
      </c>
      <c r="E406" s="25">
        <f>F406</f>
        <v>15.0641</v>
      </c>
      <c r="F406" s="25">
        <v>15.0641</v>
      </c>
      <c r="G406" s="24"/>
      <c r="H406" s="36"/>
    </row>
    <row r="407" spans="1:8" ht="12.75" customHeight="1">
      <c r="A407" s="22">
        <v>43724</v>
      </c>
      <c r="B407" s="22"/>
      <c r="C407" s="25">
        <f>ROUND(13.738,4)</f>
        <v>13.738</v>
      </c>
      <c r="D407" s="25">
        <f>F407</f>
        <v>15.2698</v>
      </c>
      <c r="E407" s="25">
        <f>F407</f>
        <v>15.2698</v>
      </c>
      <c r="F407" s="25">
        <v>15.2698</v>
      </c>
      <c r="G407" s="24"/>
      <c r="H407" s="36"/>
    </row>
    <row r="408" spans="1:8" ht="12.75" customHeight="1">
      <c r="A408" s="22" t="s">
        <v>81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43087</v>
      </c>
      <c r="B409" s="22"/>
      <c r="C409" s="25">
        <f>ROUND(13.738,4)</f>
        <v>13.738</v>
      </c>
      <c r="D409" s="25">
        <f>F409</f>
        <v>13.8925</v>
      </c>
      <c r="E409" s="25">
        <f>F409</f>
        <v>13.8925</v>
      </c>
      <c r="F409" s="25">
        <f>ROUND(13.8925,4)</f>
        <v>13.8925</v>
      </c>
      <c r="G409" s="24"/>
      <c r="H409" s="36"/>
    </row>
    <row r="410" spans="1:8" ht="12.75" customHeight="1">
      <c r="A410" s="22">
        <v>43175</v>
      </c>
      <c r="B410" s="22"/>
      <c r="C410" s="25">
        <f>ROUND(13.738,4)</f>
        <v>13.738</v>
      </c>
      <c r="D410" s="25">
        <f>F410</f>
        <v>17.5004</v>
      </c>
      <c r="E410" s="25">
        <f>F410</f>
        <v>17.5004</v>
      </c>
      <c r="F410" s="25">
        <f>ROUND(17.5004,4)</f>
        <v>17.5004</v>
      </c>
      <c r="G410" s="24"/>
      <c r="H410" s="36"/>
    </row>
    <row r="411" spans="1:8" ht="12.75" customHeight="1">
      <c r="A411" s="22">
        <v>43178</v>
      </c>
      <c r="B411" s="22"/>
      <c r="C411" s="25">
        <f>ROUND(13.738,4)</f>
        <v>13.738</v>
      </c>
      <c r="D411" s="25">
        <f>F411</f>
        <v>14.0898</v>
      </c>
      <c r="E411" s="25">
        <f>F411</f>
        <v>14.0898</v>
      </c>
      <c r="F411" s="25">
        <f>ROUND(14.0898,4)</f>
        <v>14.0898</v>
      </c>
      <c r="G411" s="24"/>
      <c r="H411" s="36"/>
    </row>
    <row r="412" spans="1:8" ht="12.75" customHeight="1">
      <c r="A412" s="22">
        <v>43269</v>
      </c>
      <c r="B412" s="22"/>
      <c r="C412" s="25">
        <f>ROUND(13.738,4)</f>
        <v>13.738</v>
      </c>
      <c r="D412" s="25">
        <f>F412</f>
        <v>14.2835</v>
      </c>
      <c r="E412" s="25">
        <f>F412</f>
        <v>14.2835</v>
      </c>
      <c r="F412" s="25">
        <f>ROUND(14.2835,4)</f>
        <v>14.2835</v>
      </c>
      <c r="G412" s="24"/>
      <c r="H412" s="36"/>
    </row>
    <row r="413" spans="1:8" ht="12.75" customHeight="1">
      <c r="A413" s="22">
        <v>43360</v>
      </c>
      <c r="B413" s="22"/>
      <c r="C413" s="25">
        <f>ROUND(13.738,4)</f>
        <v>13.738</v>
      </c>
      <c r="D413" s="25">
        <f>F413</f>
        <v>14.4752</v>
      </c>
      <c r="E413" s="25">
        <f>F413</f>
        <v>14.4752</v>
      </c>
      <c r="F413" s="25">
        <f>ROUND(14.4752,4)</f>
        <v>14.4752</v>
      </c>
      <c r="G413" s="24"/>
      <c r="H413" s="36"/>
    </row>
    <row r="414" spans="1:8" ht="12.75" customHeight="1">
      <c r="A414" s="22">
        <v>43448</v>
      </c>
      <c r="B414" s="22"/>
      <c r="C414" s="25">
        <f>ROUND(13.738,4)</f>
        <v>13.738</v>
      </c>
      <c r="D414" s="25">
        <f>F414</f>
        <v>14.6658</v>
      </c>
      <c r="E414" s="25">
        <f>F414</f>
        <v>14.6658</v>
      </c>
      <c r="F414" s="25">
        <f>ROUND(14.6658,4)</f>
        <v>14.6658</v>
      </c>
      <c r="G414" s="24"/>
      <c r="H414" s="36"/>
    </row>
    <row r="415" spans="1:8" ht="12.75" customHeight="1">
      <c r="A415" s="22">
        <v>43542</v>
      </c>
      <c r="B415" s="22"/>
      <c r="C415" s="25">
        <f>ROUND(13.738,4)</f>
        <v>13.738</v>
      </c>
      <c r="D415" s="25">
        <f>F415</f>
        <v>14.8715</v>
      </c>
      <c r="E415" s="25">
        <f>F415</f>
        <v>14.8715</v>
      </c>
      <c r="F415" s="25">
        <f>ROUND(14.8715,4)</f>
        <v>14.8715</v>
      </c>
      <c r="G415" s="24"/>
      <c r="H415" s="36"/>
    </row>
    <row r="416" spans="1:8" ht="12.75" customHeight="1">
      <c r="A416" s="22">
        <v>43630</v>
      </c>
      <c r="B416" s="22"/>
      <c r="C416" s="25">
        <f>ROUND(13.738,4)</f>
        <v>13.738</v>
      </c>
      <c r="D416" s="25">
        <f>F416</f>
        <v>15.0641</v>
      </c>
      <c r="E416" s="25">
        <f>F416</f>
        <v>15.0641</v>
      </c>
      <c r="F416" s="25">
        <f>ROUND(15.0641,4)</f>
        <v>15.0641</v>
      </c>
      <c r="G416" s="24"/>
      <c r="H416" s="36"/>
    </row>
    <row r="417" spans="1:8" ht="12.75" customHeight="1">
      <c r="A417" s="22">
        <v>43724</v>
      </c>
      <c r="B417" s="22"/>
      <c r="C417" s="25">
        <f>ROUND(13.738,4)</f>
        <v>13.738</v>
      </c>
      <c r="D417" s="25">
        <f>F417</f>
        <v>15.2698</v>
      </c>
      <c r="E417" s="25">
        <f>F417</f>
        <v>15.2698</v>
      </c>
      <c r="F417" s="25">
        <f>ROUND(15.2698,4)</f>
        <v>15.2698</v>
      </c>
      <c r="G417" s="24"/>
      <c r="H417" s="36"/>
    </row>
    <row r="418" spans="1:8" ht="12.75" customHeight="1">
      <c r="A418" s="22">
        <v>43812</v>
      </c>
      <c r="B418" s="22"/>
      <c r="C418" s="25">
        <f>ROUND(13.738,4)</f>
        <v>13.738</v>
      </c>
      <c r="D418" s="25">
        <f>F418</f>
        <v>15.4866</v>
      </c>
      <c r="E418" s="25">
        <f>F418</f>
        <v>15.4866</v>
      </c>
      <c r="F418" s="25">
        <f>ROUND(15.4866,4)</f>
        <v>15.4866</v>
      </c>
      <c r="G418" s="24"/>
      <c r="H418" s="36"/>
    </row>
    <row r="419" spans="1:8" ht="12.75" customHeight="1">
      <c r="A419" s="22">
        <v>43906</v>
      </c>
      <c r="B419" s="22"/>
      <c r="C419" s="25">
        <f>ROUND(13.738,4)</f>
        <v>13.738</v>
      </c>
      <c r="D419" s="25">
        <f>F419</f>
        <v>15.7284</v>
      </c>
      <c r="E419" s="25">
        <f>F419</f>
        <v>15.7284</v>
      </c>
      <c r="F419" s="25">
        <f>ROUND(15.7284,4)</f>
        <v>15.7284</v>
      </c>
      <c r="G419" s="24"/>
      <c r="H419" s="36"/>
    </row>
    <row r="420" spans="1:8" ht="12.75" customHeight="1">
      <c r="A420" s="22">
        <v>43994</v>
      </c>
      <c r="B420" s="22"/>
      <c r="C420" s="25">
        <f>ROUND(13.738,4)</f>
        <v>13.738</v>
      </c>
      <c r="D420" s="25">
        <f>F420</f>
        <v>15.9549</v>
      </c>
      <c r="E420" s="25">
        <f>F420</f>
        <v>15.9549</v>
      </c>
      <c r="F420" s="25">
        <f>ROUND(15.9549,4)</f>
        <v>15.9549</v>
      </c>
      <c r="G420" s="24"/>
      <c r="H420" s="36"/>
    </row>
    <row r="421" spans="1:8" ht="12.75" customHeight="1">
      <c r="A421" s="22">
        <v>44088</v>
      </c>
      <c r="B421" s="22"/>
      <c r="C421" s="25">
        <f>ROUND(13.738,4)</f>
        <v>13.738</v>
      </c>
      <c r="D421" s="25">
        <f>F421</f>
        <v>16.1967</v>
      </c>
      <c r="E421" s="25">
        <f>F421</f>
        <v>16.1967</v>
      </c>
      <c r="F421" s="25">
        <f>ROUND(16.1967,4)</f>
        <v>16.1967</v>
      </c>
      <c r="G421" s="24"/>
      <c r="H421" s="36"/>
    </row>
    <row r="422" spans="1:8" ht="12.75" customHeight="1">
      <c r="A422" s="22">
        <v>44179</v>
      </c>
      <c r="B422" s="22"/>
      <c r="C422" s="25">
        <f>ROUND(13.738,4)</f>
        <v>13.738</v>
      </c>
      <c r="D422" s="25">
        <f>F422</f>
        <v>16.4308</v>
      </c>
      <c r="E422" s="25">
        <f>F422</f>
        <v>16.4308</v>
      </c>
      <c r="F422" s="25">
        <f>ROUND(16.4308,4)</f>
        <v>16.4308</v>
      </c>
      <c r="G422" s="24"/>
      <c r="H422" s="36"/>
    </row>
    <row r="423" spans="1:8" ht="12.75" customHeight="1">
      <c r="A423" s="22" t="s">
        <v>82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43087</v>
      </c>
      <c r="B424" s="22"/>
      <c r="C424" s="25">
        <f>ROUND(1.42747298420615,4)</f>
        <v>1.4275</v>
      </c>
      <c r="D424" s="25">
        <f>F424</f>
        <v>1.4134</v>
      </c>
      <c r="E424" s="25">
        <f>F424</f>
        <v>1.4134</v>
      </c>
      <c r="F424" s="25">
        <f>ROUND(1.4134,4)</f>
        <v>1.4134</v>
      </c>
      <c r="G424" s="24"/>
      <c r="H424" s="36"/>
    </row>
    <row r="425" spans="1:8" ht="12.75" customHeight="1">
      <c r="A425" s="22">
        <v>43178</v>
      </c>
      <c r="B425" s="22"/>
      <c r="C425" s="25">
        <f>ROUND(1.42747298420615,4)</f>
        <v>1.4275</v>
      </c>
      <c r="D425" s="25">
        <f>F425</f>
        <v>1.3952</v>
      </c>
      <c r="E425" s="25">
        <f>F425</f>
        <v>1.3952</v>
      </c>
      <c r="F425" s="25">
        <f>ROUND(1.3952,4)</f>
        <v>1.3952</v>
      </c>
      <c r="G425" s="24"/>
      <c r="H425" s="36"/>
    </row>
    <row r="426" spans="1:8" ht="12.75" customHeight="1">
      <c r="A426" s="22">
        <v>43269</v>
      </c>
      <c r="B426" s="22"/>
      <c r="C426" s="25">
        <f>ROUND(1.42747298420615,4)</f>
        <v>1.4275</v>
      </c>
      <c r="D426" s="25">
        <f>F426</f>
        <v>1.3769</v>
      </c>
      <c r="E426" s="25">
        <f>F426</f>
        <v>1.3769</v>
      </c>
      <c r="F426" s="25">
        <f>ROUND(1.3769,4)</f>
        <v>1.3769</v>
      </c>
      <c r="G426" s="24"/>
      <c r="H426" s="36"/>
    </row>
    <row r="427" spans="1:8" ht="12.75" customHeight="1">
      <c r="A427" s="22">
        <v>43360</v>
      </c>
      <c r="B427" s="22"/>
      <c r="C427" s="25">
        <f>ROUND(1.42747298420615,4)</f>
        <v>1.4275</v>
      </c>
      <c r="D427" s="25">
        <f>F427</f>
        <v>1.3571</v>
      </c>
      <c r="E427" s="25">
        <f>F427</f>
        <v>1.3571</v>
      </c>
      <c r="F427" s="25">
        <f>ROUND(1.3571,4)</f>
        <v>1.3571</v>
      </c>
      <c r="G427" s="24"/>
      <c r="H427" s="36"/>
    </row>
    <row r="428" spans="1:8" ht="12.75" customHeight="1">
      <c r="A428" s="22">
        <v>43448</v>
      </c>
      <c r="B428" s="22"/>
      <c r="C428" s="25">
        <f>ROUND(1.42747298420615,4)</f>
        <v>1.4275</v>
      </c>
      <c r="D428" s="25">
        <f>F428</f>
        <v>1.3388</v>
      </c>
      <c r="E428" s="25">
        <f>F428</f>
        <v>1.3388</v>
      </c>
      <c r="F428" s="25">
        <f>ROUND(1.3388,4)</f>
        <v>1.3388</v>
      </c>
      <c r="G428" s="24"/>
      <c r="H428" s="36"/>
    </row>
    <row r="429" spans="1:8" ht="12.75" customHeight="1">
      <c r="A429" s="22">
        <v>43630</v>
      </c>
      <c r="B429" s="22"/>
      <c r="C429" s="25">
        <f>ROUND(1.42747298420615,4)</f>
        <v>1.4275</v>
      </c>
      <c r="D429" s="25">
        <f>F429</f>
        <v>1.2164</v>
      </c>
      <c r="E429" s="25">
        <f>F429</f>
        <v>1.2164</v>
      </c>
      <c r="F429" s="25">
        <f>ROUND(1.2164,4)</f>
        <v>1.2164</v>
      </c>
      <c r="G429" s="24"/>
      <c r="H429" s="36"/>
    </row>
    <row r="430" spans="1:8" ht="12.75" customHeight="1">
      <c r="A430" s="22">
        <v>43724</v>
      </c>
      <c r="B430" s="22"/>
      <c r="C430" s="25">
        <f>ROUND(1.42747298420615,4)</f>
        <v>1.4275</v>
      </c>
      <c r="D430" s="25">
        <f>F430</f>
        <v>1.2269</v>
      </c>
      <c r="E430" s="25">
        <f>F430</f>
        <v>1.2269</v>
      </c>
      <c r="F430" s="25">
        <f>ROUND(1.2269,4)</f>
        <v>1.2269</v>
      </c>
      <c r="G430" s="24"/>
      <c r="H430" s="36"/>
    </row>
    <row r="431" spans="1:8" ht="12.75" customHeight="1">
      <c r="A431" s="22" t="s">
        <v>83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43041</v>
      </c>
      <c r="B432" s="22"/>
      <c r="C432" s="27">
        <f>ROUND(618.997,3)</f>
        <v>618.997</v>
      </c>
      <c r="D432" s="27">
        <f>F432</f>
        <v>622.323</v>
      </c>
      <c r="E432" s="27">
        <f>F432</f>
        <v>622.323</v>
      </c>
      <c r="F432" s="27">
        <f>ROUND(622.323,3)</f>
        <v>622.323</v>
      </c>
      <c r="G432" s="24"/>
      <c r="H432" s="36"/>
    </row>
    <row r="433" spans="1:8" ht="12.75" customHeight="1">
      <c r="A433" s="22">
        <v>43132</v>
      </c>
      <c r="B433" s="22"/>
      <c r="C433" s="27">
        <f>ROUND(618.997,3)</f>
        <v>618.997</v>
      </c>
      <c r="D433" s="27">
        <f>F433</f>
        <v>633.755</v>
      </c>
      <c r="E433" s="27">
        <f>F433</f>
        <v>633.755</v>
      </c>
      <c r="F433" s="27">
        <f>ROUND(633.755,3)</f>
        <v>633.755</v>
      </c>
      <c r="G433" s="24"/>
      <c r="H433" s="36"/>
    </row>
    <row r="434" spans="1:8" ht="12.75" customHeight="1">
      <c r="A434" s="22">
        <v>43223</v>
      </c>
      <c r="B434" s="22"/>
      <c r="C434" s="27">
        <f>ROUND(618.997,3)</f>
        <v>618.997</v>
      </c>
      <c r="D434" s="27">
        <f>F434</f>
        <v>645.541</v>
      </c>
      <c r="E434" s="27">
        <f>F434</f>
        <v>645.541</v>
      </c>
      <c r="F434" s="27">
        <f>ROUND(645.541,3)</f>
        <v>645.541</v>
      </c>
      <c r="G434" s="24"/>
      <c r="H434" s="36"/>
    </row>
    <row r="435" spans="1:8" ht="12.75" customHeight="1">
      <c r="A435" s="22">
        <v>43314</v>
      </c>
      <c r="B435" s="22"/>
      <c r="C435" s="27">
        <f>ROUND(618.997,3)</f>
        <v>618.997</v>
      </c>
      <c r="D435" s="27">
        <f>F435</f>
        <v>657.607</v>
      </c>
      <c r="E435" s="27">
        <f>F435</f>
        <v>657.607</v>
      </c>
      <c r="F435" s="27">
        <f>ROUND(657.607,3)</f>
        <v>657.607</v>
      </c>
      <c r="G435" s="24"/>
      <c r="H435" s="36"/>
    </row>
    <row r="436" spans="1:8" ht="12.75" customHeight="1">
      <c r="A436" s="22" t="s">
        <v>84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43041</v>
      </c>
      <c r="B437" s="22"/>
      <c r="C437" s="27">
        <f>ROUND(552.205,3)</f>
        <v>552.205</v>
      </c>
      <c r="D437" s="27">
        <f>F437</f>
        <v>555.172</v>
      </c>
      <c r="E437" s="27">
        <f>F437</f>
        <v>555.172</v>
      </c>
      <c r="F437" s="27">
        <f>ROUND(555.172,3)</f>
        <v>555.172</v>
      </c>
      <c r="G437" s="24"/>
      <c r="H437" s="36"/>
    </row>
    <row r="438" spans="1:8" ht="12.75" customHeight="1">
      <c r="A438" s="22">
        <v>43132</v>
      </c>
      <c r="B438" s="22"/>
      <c r="C438" s="27">
        <f>ROUND(552.205,3)</f>
        <v>552.205</v>
      </c>
      <c r="D438" s="27">
        <f>F438</f>
        <v>565.371</v>
      </c>
      <c r="E438" s="27">
        <f>F438</f>
        <v>565.371</v>
      </c>
      <c r="F438" s="27">
        <f>ROUND(565.371,3)</f>
        <v>565.371</v>
      </c>
      <c r="G438" s="24"/>
      <c r="H438" s="36"/>
    </row>
    <row r="439" spans="1:8" ht="12.75" customHeight="1">
      <c r="A439" s="22">
        <v>43223</v>
      </c>
      <c r="B439" s="22"/>
      <c r="C439" s="27">
        <f>ROUND(552.205,3)</f>
        <v>552.205</v>
      </c>
      <c r="D439" s="27">
        <f>F439</f>
        <v>575.885</v>
      </c>
      <c r="E439" s="27">
        <f>F439</f>
        <v>575.885</v>
      </c>
      <c r="F439" s="27">
        <f>ROUND(575.885,3)</f>
        <v>575.885</v>
      </c>
      <c r="G439" s="24"/>
      <c r="H439" s="36"/>
    </row>
    <row r="440" spans="1:8" ht="12.75" customHeight="1">
      <c r="A440" s="22">
        <v>43314</v>
      </c>
      <c r="B440" s="22"/>
      <c r="C440" s="27">
        <f>ROUND(552.205,3)</f>
        <v>552.205</v>
      </c>
      <c r="D440" s="27">
        <f>F440</f>
        <v>586.649</v>
      </c>
      <c r="E440" s="27">
        <f>F440</f>
        <v>586.649</v>
      </c>
      <c r="F440" s="27">
        <f>ROUND(586.649,3)</f>
        <v>586.649</v>
      </c>
      <c r="G440" s="24"/>
      <c r="H440" s="36"/>
    </row>
    <row r="441" spans="1:8" ht="12.75" customHeight="1">
      <c r="A441" s="22" t="s">
        <v>85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43041</v>
      </c>
      <c r="B442" s="22"/>
      <c r="C442" s="27">
        <f>ROUND(634.882,3)</f>
        <v>634.882</v>
      </c>
      <c r="D442" s="27">
        <f>F442</f>
        <v>638.293</v>
      </c>
      <c r="E442" s="27">
        <f>F442</f>
        <v>638.293</v>
      </c>
      <c r="F442" s="27">
        <f>ROUND(638.293,3)</f>
        <v>638.293</v>
      </c>
      <c r="G442" s="24"/>
      <c r="H442" s="36"/>
    </row>
    <row r="443" spans="1:8" ht="12.75" customHeight="1">
      <c r="A443" s="22">
        <v>43132</v>
      </c>
      <c r="B443" s="22"/>
      <c r="C443" s="27">
        <f>ROUND(634.882,3)</f>
        <v>634.882</v>
      </c>
      <c r="D443" s="27">
        <f>F443</f>
        <v>650.019</v>
      </c>
      <c r="E443" s="27">
        <f>F443</f>
        <v>650.019</v>
      </c>
      <c r="F443" s="27">
        <f>ROUND(650.019,3)</f>
        <v>650.019</v>
      </c>
      <c r="G443" s="24"/>
      <c r="H443" s="36"/>
    </row>
    <row r="444" spans="1:8" ht="12.75" customHeight="1">
      <c r="A444" s="22">
        <v>43223</v>
      </c>
      <c r="B444" s="22"/>
      <c r="C444" s="27">
        <f>ROUND(634.882,3)</f>
        <v>634.882</v>
      </c>
      <c r="D444" s="27">
        <f>F444</f>
        <v>662.107</v>
      </c>
      <c r="E444" s="27">
        <f>F444</f>
        <v>662.107</v>
      </c>
      <c r="F444" s="27">
        <f>ROUND(662.107,3)</f>
        <v>662.107</v>
      </c>
      <c r="G444" s="24"/>
      <c r="H444" s="36"/>
    </row>
    <row r="445" spans="1:8" ht="12.75" customHeight="1">
      <c r="A445" s="22">
        <v>43314</v>
      </c>
      <c r="B445" s="22"/>
      <c r="C445" s="27">
        <f>ROUND(634.882,3)</f>
        <v>634.882</v>
      </c>
      <c r="D445" s="27">
        <f>F445</f>
        <v>674.483</v>
      </c>
      <c r="E445" s="27">
        <f>F445</f>
        <v>674.483</v>
      </c>
      <c r="F445" s="27">
        <f>ROUND(674.483,3)</f>
        <v>674.483</v>
      </c>
      <c r="G445" s="24"/>
      <c r="H445" s="36"/>
    </row>
    <row r="446" spans="1:8" ht="12.75" customHeight="1">
      <c r="A446" s="22" t="s">
        <v>86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43041</v>
      </c>
      <c r="B447" s="22"/>
      <c r="C447" s="27">
        <f>ROUND(570.652,3)</f>
        <v>570.652</v>
      </c>
      <c r="D447" s="27">
        <f>F447</f>
        <v>573.718</v>
      </c>
      <c r="E447" s="27">
        <f>F447</f>
        <v>573.718</v>
      </c>
      <c r="F447" s="27">
        <f>ROUND(573.718,3)</f>
        <v>573.718</v>
      </c>
      <c r="G447" s="24"/>
      <c r="H447" s="36"/>
    </row>
    <row r="448" spans="1:8" ht="12.75" customHeight="1">
      <c r="A448" s="22">
        <v>43132</v>
      </c>
      <c r="B448" s="22"/>
      <c r="C448" s="27">
        <f>ROUND(570.652,3)</f>
        <v>570.652</v>
      </c>
      <c r="D448" s="27">
        <f>F448</f>
        <v>584.258</v>
      </c>
      <c r="E448" s="27">
        <f>F448</f>
        <v>584.258</v>
      </c>
      <c r="F448" s="27">
        <f>ROUND(584.258,3)</f>
        <v>584.258</v>
      </c>
      <c r="G448" s="24"/>
      <c r="H448" s="36"/>
    </row>
    <row r="449" spans="1:8" ht="12.75" customHeight="1">
      <c r="A449" s="22">
        <v>43223</v>
      </c>
      <c r="B449" s="22"/>
      <c r="C449" s="27">
        <f>ROUND(570.652,3)</f>
        <v>570.652</v>
      </c>
      <c r="D449" s="27">
        <f>F449</f>
        <v>595.123</v>
      </c>
      <c r="E449" s="27">
        <f>F449</f>
        <v>595.123</v>
      </c>
      <c r="F449" s="27">
        <f>ROUND(595.123,3)</f>
        <v>595.123</v>
      </c>
      <c r="G449" s="24"/>
      <c r="H449" s="36"/>
    </row>
    <row r="450" spans="1:8" ht="12.75" customHeight="1">
      <c r="A450" s="22">
        <v>43314</v>
      </c>
      <c r="B450" s="22"/>
      <c r="C450" s="27">
        <f>ROUND(570.652,3)</f>
        <v>570.652</v>
      </c>
      <c r="D450" s="27">
        <f>F450</f>
        <v>606.247</v>
      </c>
      <c r="E450" s="27">
        <f>F450</f>
        <v>606.247</v>
      </c>
      <c r="F450" s="27">
        <f>ROUND(606.247,3)</f>
        <v>606.247</v>
      </c>
      <c r="G450" s="24"/>
      <c r="H450" s="36"/>
    </row>
    <row r="451" spans="1:8" ht="12.75" customHeight="1">
      <c r="A451" s="22" t="s">
        <v>87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43041</v>
      </c>
      <c r="B452" s="22"/>
      <c r="C452" s="27">
        <f>ROUND(249.378114711396,3)</f>
        <v>249.378</v>
      </c>
      <c r="D452" s="27">
        <f>F452</f>
        <v>250.728</v>
      </c>
      <c r="E452" s="27">
        <f>F452</f>
        <v>250.728</v>
      </c>
      <c r="F452" s="27">
        <f>ROUND(250.728,3)</f>
        <v>250.728</v>
      </c>
      <c r="G452" s="24"/>
      <c r="H452" s="36"/>
    </row>
    <row r="453" spans="1:8" ht="12.75" customHeight="1">
      <c r="A453" s="22">
        <v>43132</v>
      </c>
      <c r="B453" s="22"/>
      <c r="C453" s="27">
        <f>ROUND(249.378114711396,3)</f>
        <v>249.378</v>
      </c>
      <c r="D453" s="27">
        <f>F453</f>
        <v>255.419</v>
      </c>
      <c r="E453" s="27">
        <f>F453</f>
        <v>255.419</v>
      </c>
      <c r="F453" s="27">
        <f>ROUND(255.419,3)</f>
        <v>255.419</v>
      </c>
      <c r="G453" s="24"/>
      <c r="H453" s="36"/>
    </row>
    <row r="454" spans="1:8" ht="12.75" customHeight="1">
      <c r="A454" s="22">
        <v>43223</v>
      </c>
      <c r="B454" s="22"/>
      <c r="C454" s="27">
        <f>ROUND(249.378114711396,3)</f>
        <v>249.378</v>
      </c>
      <c r="D454" s="27">
        <f>F454</f>
        <v>260.263</v>
      </c>
      <c r="E454" s="27">
        <f>F454</f>
        <v>260.263</v>
      </c>
      <c r="F454" s="27">
        <f>ROUND(260.263,3)</f>
        <v>260.263</v>
      </c>
      <c r="G454" s="24"/>
      <c r="H454" s="36"/>
    </row>
    <row r="455" spans="1:8" ht="12.75" customHeight="1">
      <c r="A455" s="22">
        <v>43314</v>
      </c>
      <c r="B455" s="22"/>
      <c r="C455" s="27">
        <f>ROUND(249.378114711396,3)</f>
        <v>249.378</v>
      </c>
      <c r="D455" s="27">
        <f>F455</f>
        <v>265.215</v>
      </c>
      <c r="E455" s="27">
        <f>F455</f>
        <v>265.215</v>
      </c>
      <c r="F455" s="27">
        <f>ROUND(265.215,3)</f>
        <v>265.215</v>
      </c>
      <c r="G455" s="24"/>
      <c r="H455" s="36"/>
    </row>
    <row r="456" spans="1:8" ht="12.75" customHeight="1">
      <c r="A456" s="22" t="s">
        <v>88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43041</v>
      </c>
      <c r="B457" s="22"/>
      <c r="C457" s="27">
        <f>ROUND(675.731,3)</f>
        <v>675.731</v>
      </c>
      <c r="D457" s="27">
        <f>F457</f>
        <v>709.665</v>
      </c>
      <c r="E457" s="27">
        <f>F457</f>
        <v>709.665</v>
      </c>
      <c r="F457" s="27">
        <f>ROUND(709.665,3)</f>
        <v>709.665</v>
      </c>
      <c r="G457" s="24"/>
      <c r="H457" s="36"/>
    </row>
    <row r="458" spans="1:8" ht="12.75" customHeight="1">
      <c r="A458" s="22">
        <v>43132</v>
      </c>
      <c r="B458" s="22"/>
      <c r="C458" s="27">
        <f>ROUND(675.731,3)</f>
        <v>675.731</v>
      </c>
      <c r="D458" s="27">
        <f>F458</f>
        <v>724.173</v>
      </c>
      <c r="E458" s="27">
        <f>F458</f>
        <v>724.173</v>
      </c>
      <c r="F458" s="27">
        <f>ROUND(724.173,3)</f>
        <v>724.173</v>
      </c>
      <c r="G458" s="24"/>
      <c r="H458" s="36"/>
    </row>
    <row r="459" spans="1:8" ht="12.75" customHeight="1">
      <c r="A459" s="22" t="s">
        <v>89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43087</v>
      </c>
      <c r="B460" s="22"/>
      <c r="C460" s="24">
        <f>ROUND(24228.730156085,2)</f>
        <v>24228.73</v>
      </c>
      <c r="D460" s="24">
        <f>F460</f>
        <v>24517.53</v>
      </c>
      <c r="E460" s="24">
        <f>F460</f>
        <v>24517.53</v>
      </c>
      <c r="F460" s="24">
        <f>ROUND(24517.53,2)</f>
        <v>24517.53</v>
      </c>
      <c r="G460" s="24"/>
      <c r="H460" s="36"/>
    </row>
    <row r="461" spans="1:8" ht="12.75" customHeight="1">
      <c r="A461" s="22">
        <v>43178</v>
      </c>
      <c r="B461" s="22"/>
      <c r="C461" s="24">
        <f>ROUND(24228.730156085,2)</f>
        <v>24228.73</v>
      </c>
      <c r="D461" s="24">
        <f>F461</f>
        <v>24913.83</v>
      </c>
      <c r="E461" s="24">
        <f>F461</f>
        <v>24913.83</v>
      </c>
      <c r="F461" s="24">
        <f>ROUND(24913.83,2)</f>
        <v>24913.83</v>
      </c>
      <c r="G461" s="24"/>
      <c r="H461" s="36"/>
    </row>
    <row r="462" spans="1:8" ht="12.75" customHeight="1">
      <c r="A462" s="22">
        <v>43269</v>
      </c>
      <c r="B462" s="22"/>
      <c r="C462" s="24">
        <f>ROUND(24228.730156085,2)</f>
        <v>24228.73</v>
      </c>
      <c r="D462" s="24">
        <f>F462</f>
        <v>25306.78</v>
      </c>
      <c r="E462" s="24">
        <f>F462</f>
        <v>25306.78</v>
      </c>
      <c r="F462" s="24">
        <f>ROUND(25306.78,2)</f>
        <v>25306.78</v>
      </c>
      <c r="G462" s="24"/>
      <c r="H462" s="36"/>
    </row>
    <row r="463" spans="1:8" ht="12.75" customHeight="1">
      <c r="A463" s="22" t="s">
        <v>90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43026</v>
      </c>
      <c r="B464" s="22"/>
      <c r="C464" s="27">
        <f>ROUND(6.99167,3)</f>
        <v>6.992</v>
      </c>
      <c r="D464" s="27">
        <f>ROUND(7.07,3)</f>
        <v>7.07</v>
      </c>
      <c r="E464" s="27">
        <f>ROUND(6.97,3)</f>
        <v>6.97</v>
      </c>
      <c r="F464" s="27">
        <f>ROUND(7.02,3)</f>
        <v>7.02</v>
      </c>
      <c r="G464" s="24"/>
      <c r="H464" s="36"/>
    </row>
    <row r="465" spans="1:8" ht="12.75" customHeight="1">
      <c r="A465" s="22">
        <v>43054</v>
      </c>
      <c r="B465" s="22"/>
      <c r="C465" s="27">
        <f>ROUND(6.99167,3)</f>
        <v>6.992</v>
      </c>
      <c r="D465" s="27">
        <f>ROUND(7.05,3)</f>
        <v>7.05</v>
      </c>
      <c r="E465" s="27">
        <f>ROUND(6.95,3)</f>
        <v>6.95</v>
      </c>
      <c r="F465" s="27">
        <f>ROUND(7,3)</f>
        <v>7</v>
      </c>
      <c r="G465" s="24"/>
      <c r="H465" s="36"/>
    </row>
    <row r="466" spans="1:8" ht="12.75" customHeight="1">
      <c r="A466" s="22">
        <v>43089</v>
      </c>
      <c r="B466" s="22"/>
      <c r="C466" s="27">
        <f>ROUND(6.99167,3)</f>
        <v>6.992</v>
      </c>
      <c r="D466" s="27">
        <f>ROUND(6.95,3)</f>
        <v>6.95</v>
      </c>
      <c r="E466" s="27">
        <f>ROUND(6.85,3)</f>
        <v>6.85</v>
      </c>
      <c r="F466" s="27">
        <f>ROUND(6.9,3)</f>
        <v>6.9</v>
      </c>
      <c r="G466" s="24"/>
      <c r="H466" s="36"/>
    </row>
    <row r="467" spans="1:8" ht="12.75" customHeight="1">
      <c r="A467" s="22">
        <v>43117</v>
      </c>
      <c r="B467" s="22"/>
      <c r="C467" s="27">
        <f>ROUND(6.99167,3)</f>
        <v>6.992</v>
      </c>
      <c r="D467" s="27">
        <f>ROUND(6.91,3)</f>
        <v>6.91</v>
      </c>
      <c r="E467" s="27">
        <f>ROUND(6.81,3)</f>
        <v>6.81</v>
      </c>
      <c r="F467" s="27">
        <f>ROUND(6.86,3)</f>
        <v>6.86</v>
      </c>
      <c r="G467" s="24"/>
      <c r="H467" s="36"/>
    </row>
    <row r="468" spans="1:8" ht="12.75" customHeight="1">
      <c r="A468" s="22">
        <v>43152</v>
      </c>
      <c r="B468" s="22"/>
      <c r="C468" s="27">
        <f>ROUND(6.99167,3)</f>
        <v>6.992</v>
      </c>
      <c r="D468" s="27">
        <f>ROUND(6.84,3)</f>
        <v>6.84</v>
      </c>
      <c r="E468" s="27">
        <f>ROUND(6.74,3)</f>
        <v>6.74</v>
      </c>
      <c r="F468" s="27">
        <f>ROUND(6.79,3)</f>
        <v>6.79</v>
      </c>
      <c r="G468" s="24"/>
      <c r="H468" s="36"/>
    </row>
    <row r="469" spans="1:8" ht="12.75" customHeight="1">
      <c r="A469" s="22">
        <v>43179</v>
      </c>
      <c r="B469" s="22"/>
      <c r="C469" s="27">
        <f>ROUND(6.99167,3)</f>
        <v>6.992</v>
      </c>
      <c r="D469" s="27">
        <f>ROUND(6.8,3)</f>
        <v>6.8</v>
      </c>
      <c r="E469" s="27">
        <f>ROUND(6.7,3)</f>
        <v>6.7</v>
      </c>
      <c r="F469" s="27">
        <f>ROUND(6.75,3)</f>
        <v>6.75</v>
      </c>
      <c r="G469" s="24"/>
      <c r="H469" s="36"/>
    </row>
    <row r="470" spans="1:8" ht="12.75" customHeight="1">
      <c r="A470" s="22">
        <v>43208</v>
      </c>
      <c r="B470" s="22"/>
      <c r="C470" s="27">
        <f>ROUND(6.99167,3)</f>
        <v>6.992</v>
      </c>
      <c r="D470" s="27">
        <f>ROUND(6.75,3)</f>
        <v>6.75</v>
      </c>
      <c r="E470" s="27">
        <f>ROUND(6.65,3)</f>
        <v>6.65</v>
      </c>
      <c r="F470" s="27">
        <f>ROUND(6.7,3)</f>
        <v>6.7</v>
      </c>
      <c r="G470" s="24"/>
      <c r="H470" s="36"/>
    </row>
    <row r="471" spans="1:8" ht="12.75" customHeight="1">
      <c r="A471" s="22">
        <v>43269</v>
      </c>
      <c r="B471" s="22"/>
      <c r="C471" s="27">
        <f>ROUND(6.99167,3)</f>
        <v>6.992</v>
      </c>
      <c r="D471" s="27">
        <f>ROUND(7.51,3)</f>
        <v>7.51</v>
      </c>
      <c r="E471" s="27">
        <f>ROUND(7.41,3)</f>
        <v>7.41</v>
      </c>
      <c r="F471" s="27">
        <f>ROUND(7.46,3)</f>
        <v>7.46</v>
      </c>
      <c r="G471" s="24"/>
      <c r="H471" s="36"/>
    </row>
    <row r="472" spans="1:8" ht="12.75" customHeight="1">
      <c r="A472" s="22">
        <v>43271</v>
      </c>
      <c r="B472" s="22"/>
      <c r="C472" s="27">
        <f>ROUND(6.99167,3)</f>
        <v>6.992</v>
      </c>
      <c r="D472" s="27">
        <f>ROUND(6.72,3)</f>
        <v>6.72</v>
      </c>
      <c r="E472" s="27">
        <f>ROUND(6.62,3)</f>
        <v>6.62</v>
      </c>
      <c r="F472" s="27">
        <f>ROUND(6.67,3)</f>
        <v>6.67</v>
      </c>
      <c r="G472" s="24"/>
      <c r="H472" s="36"/>
    </row>
    <row r="473" spans="1:8" ht="12.75" customHeight="1">
      <c r="A473" s="22">
        <v>43362</v>
      </c>
      <c r="B473" s="22"/>
      <c r="C473" s="27">
        <f>ROUND(6.99167,3)</f>
        <v>6.992</v>
      </c>
      <c r="D473" s="27">
        <f>ROUND(6.72,3)</f>
        <v>6.72</v>
      </c>
      <c r="E473" s="27">
        <f>ROUND(6.62,3)</f>
        <v>6.62</v>
      </c>
      <c r="F473" s="27">
        <f>ROUND(6.67,3)</f>
        <v>6.67</v>
      </c>
      <c r="G473" s="24"/>
      <c r="H473" s="36"/>
    </row>
    <row r="474" spans="1:8" ht="12.75" customHeight="1">
      <c r="A474" s="22">
        <v>43453</v>
      </c>
      <c r="B474" s="22"/>
      <c r="C474" s="27">
        <f>ROUND(6.99167,3)</f>
        <v>6.992</v>
      </c>
      <c r="D474" s="27">
        <f>ROUND(6.74,3)</f>
        <v>6.74</v>
      </c>
      <c r="E474" s="27">
        <f>ROUND(6.64,3)</f>
        <v>6.64</v>
      </c>
      <c r="F474" s="27">
        <f>ROUND(6.69,3)</f>
        <v>6.69</v>
      </c>
      <c r="G474" s="24"/>
      <c r="H474" s="36"/>
    </row>
    <row r="475" spans="1:8" ht="12.75" customHeight="1">
      <c r="A475" s="22">
        <v>43544</v>
      </c>
      <c r="B475" s="22"/>
      <c r="C475" s="27">
        <f>ROUND(6.99167,3)</f>
        <v>6.992</v>
      </c>
      <c r="D475" s="27">
        <f>ROUND(6.78,3)</f>
        <v>6.78</v>
      </c>
      <c r="E475" s="27">
        <f>ROUND(6.68,3)</f>
        <v>6.68</v>
      </c>
      <c r="F475" s="27">
        <f>ROUND(6.73,3)</f>
        <v>6.73</v>
      </c>
      <c r="G475" s="24"/>
      <c r="H475" s="36"/>
    </row>
    <row r="476" spans="1:8" ht="12.75" customHeight="1">
      <c r="A476" s="22">
        <v>43635</v>
      </c>
      <c r="B476" s="22"/>
      <c r="C476" s="27">
        <f>ROUND(6.99167,3)</f>
        <v>6.992</v>
      </c>
      <c r="D476" s="27">
        <f>ROUND(6.85,3)</f>
        <v>6.85</v>
      </c>
      <c r="E476" s="27">
        <f>ROUND(6.75,3)</f>
        <v>6.75</v>
      </c>
      <c r="F476" s="27">
        <f>ROUND(6.8,3)</f>
        <v>6.8</v>
      </c>
      <c r="G476" s="24"/>
      <c r="H476" s="36"/>
    </row>
    <row r="477" spans="1:8" ht="12.75" customHeight="1">
      <c r="A477" s="22" t="s">
        <v>91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43041</v>
      </c>
      <c r="B478" s="22"/>
      <c r="C478" s="27">
        <f>ROUND(569.224,3)</f>
        <v>569.224</v>
      </c>
      <c r="D478" s="27">
        <f>F478</f>
        <v>572.283</v>
      </c>
      <c r="E478" s="27">
        <f>F478</f>
        <v>572.283</v>
      </c>
      <c r="F478" s="27">
        <f>ROUND(572.283,3)</f>
        <v>572.283</v>
      </c>
      <c r="G478" s="24"/>
      <c r="H478" s="36"/>
    </row>
    <row r="479" spans="1:8" ht="12.75" customHeight="1">
      <c r="A479" s="22">
        <v>43132</v>
      </c>
      <c r="B479" s="22"/>
      <c r="C479" s="27">
        <f>ROUND(569.224,3)</f>
        <v>569.224</v>
      </c>
      <c r="D479" s="27">
        <f>F479</f>
        <v>582.796</v>
      </c>
      <c r="E479" s="27">
        <f>F479</f>
        <v>582.796</v>
      </c>
      <c r="F479" s="27">
        <f>ROUND(582.796,3)</f>
        <v>582.796</v>
      </c>
      <c r="G479" s="24"/>
      <c r="H479" s="36"/>
    </row>
    <row r="480" spans="1:8" ht="12.75" customHeight="1">
      <c r="A480" s="22">
        <v>43223</v>
      </c>
      <c r="B480" s="22"/>
      <c r="C480" s="27">
        <f>ROUND(569.224,3)</f>
        <v>569.224</v>
      </c>
      <c r="D480" s="27">
        <f>F480</f>
        <v>593.634</v>
      </c>
      <c r="E480" s="27">
        <f>F480</f>
        <v>593.634</v>
      </c>
      <c r="F480" s="27">
        <f>ROUND(593.634,3)</f>
        <v>593.634</v>
      </c>
      <c r="G480" s="24"/>
      <c r="H480" s="36"/>
    </row>
    <row r="481" spans="1:8" ht="12.75" customHeight="1">
      <c r="A481" s="22">
        <v>43314</v>
      </c>
      <c r="B481" s="22"/>
      <c r="C481" s="27">
        <f>ROUND(569.224,3)</f>
        <v>569.224</v>
      </c>
      <c r="D481" s="27">
        <f>F481</f>
        <v>604.73</v>
      </c>
      <c r="E481" s="27">
        <f>F481</f>
        <v>604.73</v>
      </c>
      <c r="F481" s="27">
        <f>ROUND(604.73,3)</f>
        <v>604.73</v>
      </c>
      <c r="G481" s="24"/>
      <c r="H481" s="36"/>
    </row>
    <row r="482" spans="1:8" ht="12.75" customHeight="1">
      <c r="A482" s="22" t="s">
        <v>92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43090</v>
      </c>
      <c r="B483" s="22"/>
      <c r="C483" s="26">
        <f>ROUND(100.343197561815,5)</f>
        <v>100.3432</v>
      </c>
      <c r="D483" s="26">
        <f>F483</f>
        <v>99.75956</v>
      </c>
      <c r="E483" s="26">
        <f>F483</f>
        <v>99.75956</v>
      </c>
      <c r="F483" s="26">
        <f>ROUND(99.7595598797377,5)</f>
        <v>99.75956</v>
      </c>
      <c r="G483" s="24"/>
      <c r="H483" s="36"/>
    </row>
    <row r="484" spans="1:8" ht="12.75" customHeight="1">
      <c r="A484" s="22" t="s">
        <v>93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43174</v>
      </c>
      <c r="B485" s="22"/>
      <c r="C485" s="26">
        <f>ROUND(100.343197561815,5)</f>
        <v>100.3432</v>
      </c>
      <c r="D485" s="26">
        <f>F485</f>
        <v>99.67826</v>
      </c>
      <c r="E485" s="26">
        <f>F485</f>
        <v>99.67826</v>
      </c>
      <c r="F485" s="26">
        <f>ROUND(99.6782647138665,5)</f>
        <v>99.67826</v>
      </c>
      <c r="G485" s="24"/>
      <c r="H485" s="36"/>
    </row>
    <row r="486" spans="1:8" ht="12.75" customHeight="1">
      <c r="A486" s="22" t="s">
        <v>94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43272</v>
      </c>
      <c r="B487" s="22"/>
      <c r="C487" s="26">
        <f>ROUND(100.343197561815,5)</f>
        <v>100.3432</v>
      </c>
      <c r="D487" s="26">
        <f>F487</f>
        <v>99.79323</v>
      </c>
      <c r="E487" s="26">
        <f>F487</f>
        <v>99.79323</v>
      </c>
      <c r="F487" s="26">
        <f>ROUND(99.7932325636834,5)</f>
        <v>99.79323</v>
      </c>
      <c r="G487" s="24"/>
      <c r="H487" s="36"/>
    </row>
    <row r="488" spans="1:8" ht="12.75" customHeight="1">
      <c r="A488" s="22" t="s">
        <v>95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43363</v>
      </c>
      <c r="B489" s="22"/>
      <c r="C489" s="26">
        <f>ROUND(100.343197561815,5)</f>
        <v>100.3432</v>
      </c>
      <c r="D489" s="26">
        <f>F489</f>
        <v>99.90604</v>
      </c>
      <c r="E489" s="26">
        <f>F489</f>
        <v>99.90604</v>
      </c>
      <c r="F489" s="26">
        <f>ROUND(99.9060433833151,5)</f>
        <v>99.90604</v>
      </c>
      <c r="G489" s="24"/>
      <c r="H489" s="36"/>
    </row>
    <row r="490" spans="1:8" ht="12.75" customHeight="1">
      <c r="A490" s="22" t="s">
        <v>96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43087</v>
      </c>
      <c r="B491" s="22"/>
      <c r="C491" s="26">
        <f>ROUND(100.772105485067,5)</f>
        <v>100.77211</v>
      </c>
      <c r="D491" s="26">
        <f>F491</f>
        <v>99.79704</v>
      </c>
      <c r="E491" s="26">
        <f>F491</f>
        <v>99.79704</v>
      </c>
      <c r="F491" s="26">
        <f>ROUND(99.7970378191622,5)</f>
        <v>99.79704</v>
      </c>
      <c r="G491" s="24"/>
      <c r="H491" s="36"/>
    </row>
    <row r="492" spans="1:8" ht="12.75" customHeight="1">
      <c r="A492" s="22" t="s">
        <v>97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43175</v>
      </c>
      <c r="B493" s="22"/>
      <c r="C493" s="26">
        <f>ROUND(100.772105485067,5)</f>
        <v>100.77211</v>
      </c>
      <c r="D493" s="26">
        <f>F493</f>
        <v>98.96253</v>
      </c>
      <c r="E493" s="26">
        <f>F493</f>
        <v>98.96253</v>
      </c>
      <c r="F493" s="26">
        <f>ROUND(98.9625250835722,5)</f>
        <v>98.96253</v>
      </c>
      <c r="G493" s="24"/>
      <c r="H493" s="36"/>
    </row>
    <row r="494" spans="1:8" ht="12.75" customHeight="1">
      <c r="A494" s="22" t="s">
        <v>98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43266</v>
      </c>
      <c r="B495" s="22"/>
      <c r="C495" s="26">
        <f>ROUND(100.772105485067,5)</f>
        <v>100.77211</v>
      </c>
      <c r="D495" s="26">
        <f>F495</f>
        <v>98.48708</v>
      </c>
      <c r="E495" s="26">
        <f>F495</f>
        <v>98.48708</v>
      </c>
      <c r="F495" s="26">
        <f>ROUND(98.4870768675593,5)</f>
        <v>98.48708</v>
      </c>
      <c r="G495" s="24"/>
      <c r="H495" s="36"/>
    </row>
    <row r="496" spans="1:8" ht="12.75" customHeight="1">
      <c r="A496" s="22" t="s">
        <v>99</v>
      </c>
      <c r="B496" s="22"/>
      <c r="C496" s="23"/>
      <c r="D496" s="23"/>
      <c r="E496" s="23"/>
      <c r="F496" s="23"/>
      <c r="G496" s="24"/>
      <c r="H496" s="36"/>
    </row>
    <row r="497" spans="1:8" ht="12.75" customHeight="1">
      <c r="A497" s="22">
        <v>43364</v>
      </c>
      <c r="B497" s="22"/>
      <c r="C497" s="26">
        <f>ROUND(100.772105485067,5)</f>
        <v>100.77211</v>
      </c>
      <c r="D497" s="26">
        <f>F497</f>
        <v>98.37362</v>
      </c>
      <c r="E497" s="26">
        <f>F497</f>
        <v>98.37362</v>
      </c>
      <c r="F497" s="26">
        <f>ROUND(98.3736217307757,5)</f>
        <v>98.37362</v>
      </c>
      <c r="G497" s="24"/>
      <c r="H497" s="36"/>
    </row>
    <row r="498" spans="1:8" ht="12.75" customHeight="1">
      <c r="A498" s="22" t="s">
        <v>100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43455</v>
      </c>
      <c r="B499" s="22"/>
      <c r="C499" s="24">
        <f>ROUND(100.772105485067,2)</f>
        <v>100.77</v>
      </c>
      <c r="D499" s="24">
        <f>F499</f>
        <v>98.72</v>
      </c>
      <c r="E499" s="24">
        <f>F499</f>
        <v>98.72</v>
      </c>
      <c r="F499" s="24">
        <f>ROUND(98.7216697551068,2)</f>
        <v>98.72</v>
      </c>
      <c r="G499" s="24"/>
      <c r="H499" s="36"/>
    </row>
    <row r="500" spans="1:8" ht="12.75" customHeight="1">
      <c r="A500" s="22" t="s">
        <v>101</v>
      </c>
      <c r="B500" s="22"/>
      <c r="C500" s="23"/>
      <c r="D500" s="23"/>
      <c r="E500" s="23"/>
      <c r="F500" s="23"/>
      <c r="G500" s="24"/>
      <c r="H500" s="36"/>
    </row>
    <row r="501" spans="1:8" ht="12.75" customHeight="1">
      <c r="A501" s="22">
        <v>43539</v>
      </c>
      <c r="B501" s="22"/>
      <c r="C501" s="26">
        <f>ROUND(100.772105485067,5)</f>
        <v>100.77211</v>
      </c>
      <c r="D501" s="26">
        <f>F501</f>
        <v>99.08993</v>
      </c>
      <c r="E501" s="26">
        <f>F501</f>
        <v>99.08993</v>
      </c>
      <c r="F501" s="26">
        <f>ROUND(99.089927941562,5)</f>
        <v>99.08993</v>
      </c>
      <c r="G501" s="24"/>
      <c r="H501" s="36"/>
    </row>
    <row r="502" spans="1:8" ht="12.75" customHeight="1">
      <c r="A502" s="22" t="s">
        <v>102</v>
      </c>
      <c r="B502" s="22"/>
      <c r="C502" s="23"/>
      <c r="D502" s="23"/>
      <c r="E502" s="23"/>
      <c r="F502" s="23"/>
      <c r="G502" s="24"/>
      <c r="H502" s="36"/>
    </row>
    <row r="503" spans="1:8" ht="12.75" customHeight="1">
      <c r="A503" s="22">
        <v>43637</v>
      </c>
      <c r="B503" s="22"/>
      <c r="C503" s="26">
        <f>ROUND(100.772105485067,5)</f>
        <v>100.77211</v>
      </c>
      <c r="D503" s="26">
        <f>F503</f>
        <v>99.44989</v>
      </c>
      <c r="E503" s="26">
        <f>F503</f>
        <v>99.44989</v>
      </c>
      <c r="F503" s="26">
        <f>ROUND(99.4498867822968,5)</f>
        <v>99.44989</v>
      </c>
      <c r="G503" s="24"/>
      <c r="H503" s="36"/>
    </row>
    <row r="504" spans="1:8" ht="12.75" customHeight="1">
      <c r="A504" s="22" t="s">
        <v>103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43728</v>
      </c>
      <c r="B505" s="22"/>
      <c r="C505" s="26">
        <f>ROUND(100.772105485067,5)</f>
        <v>100.77211</v>
      </c>
      <c r="D505" s="26">
        <f>F505</f>
        <v>99.83308</v>
      </c>
      <c r="E505" s="26">
        <f>F505</f>
        <v>99.83308</v>
      </c>
      <c r="F505" s="26">
        <f>ROUND(99.8330830732423,5)</f>
        <v>99.83308</v>
      </c>
      <c r="G505" s="24"/>
      <c r="H505" s="36"/>
    </row>
    <row r="506" spans="1:8" ht="12.75" customHeight="1">
      <c r="A506" s="22" t="s">
        <v>104</v>
      </c>
      <c r="B506" s="22"/>
      <c r="C506" s="23"/>
      <c r="D506" s="23"/>
      <c r="E506" s="23"/>
      <c r="F506" s="23"/>
      <c r="G506" s="24"/>
      <c r="H506" s="36"/>
    </row>
    <row r="507" spans="1:8" ht="12.75" customHeight="1">
      <c r="A507" s="22">
        <v>44182</v>
      </c>
      <c r="B507" s="22"/>
      <c r="C507" s="26">
        <f>ROUND(101.685729608841,5)</f>
        <v>101.68573</v>
      </c>
      <c r="D507" s="26">
        <f>F507</f>
        <v>96.0207</v>
      </c>
      <c r="E507" s="26">
        <f>F507</f>
        <v>96.0207</v>
      </c>
      <c r="F507" s="26">
        <f>ROUND(96.0207037510819,5)</f>
        <v>96.0207</v>
      </c>
      <c r="G507" s="24"/>
      <c r="H507" s="36"/>
    </row>
    <row r="508" spans="1:8" ht="12.75" customHeight="1">
      <c r="A508" s="22" t="s">
        <v>105</v>
      </c>
      <c r="B508" s="22"/>
      <c r="C508" s="23"/>
      <c r="D508" s="23"/>
      <c r="E508" s="23"/>
      <c r="F508" s="23"/>
      <c r="G508" s="24"/>
      <c r="H508" s="36"/>
    </row>
    <row r="509" spans="1:8" ht="12.75" customHeight="1">
      <c r="A509" s="22">
        <v>44271</v>
      </c>
      <c r="B509" s="22"/>
      <c r="C509" s="26">
        <f>ROUND(101.685729608841,5)</f>
        <v>101.68573</v>
      </c>
      <c r="D509" s="26">
        <f>F509</f>
        <v>95.25366</v>
      </c>
      <c r="E509" s="26">
        <f>F509</f>
        <v>95.25366</v>
      </c>
      <c r="F509" s="26">
        <f>ROUND(95.2536615947465,5)</f>
        <v>95.25366</v>
      </c>
      <c r="G509" s="24"/>
      <c r="H509" s="36"/>
    </row>
    <row r="510" spans="1:8" ht="12.75" customHeight="1">
      <c r="A510" s="22" t="s">
        <v>106</v>
      </c>
      <c r="B510" s="22"/>
      <c r="C510" s="23"/>
      <c r="D510" s="23"/>
      <c r="E510" s="23"/>
      <c r="F510" s="23"/>
      <c r="G510" s="24"/>
      <c r="H510" s="36"/>
    </row>
    <row r="511" spans="1:8" ht="12.75" customHeight="1">
      <c r="A511" s="22">
        <v>44362</v>
      </c>
      <c r="B511" s="22"/>
      <c r="C511" s="26">
        <f>ROUND(101.685729608841,5)</f>
        <v>101.68573</v>
      </c>
      <c r="D511" s="26">
        <f>F511</f>
        <v>94.45576</v>
      </c>
      <c r="E511" s="26">
        <f>F511</f>
        <v>94.45576</v>
      </c>
      <c r="F511" s="26">
        <f>ROUND(94.4557609676972,5)</f>
        <v>94.45576</v>
      </c>
      <c r="G511" s="24"/>
      <c r="H511" s="36"/>
    </row>
    <row r="512" spans="1:8" ht="12.75" customHeight="1">
      <c r="A512" s="22" t="s">
        <v>107</v>
      </c>
      <c r="B512" s="22"/>
      <c r="C512" s="23"/>
      <c r="D512" s="23"/>
      <c r="E512" s="23"/>
      <c r="F512" s="23"/>
      <c r="G512" s="24"/>
      <c r="H512" s="36"/>
    </row>
    <row r="513" spans="1:8" ht="12.75" customHeight="1">
      <c r="A513" s="22">
        <v>44460</v>
      </c>
      <c r="B513" s="22"/>
      <c r="C513" s="26">
        <f>ROUND(101.685729608841,5)</f>
        <v>101.68573</v>
      </c>
      <c r="D513" s="26">
        <f>F513</f>
        <v>94.63567</v>
      </c>
      <c r="E513" s="26">
        <f>F513</f>
        <v>94.63567</v>
      </c>
      <c r="F513" s="26">
        <f>ROUND(94.6356723678197,5)</f>
        <v>94.63567</v>
      </c>
      <c r="G513" s="24"/>
      <c r="H513" s="36"/>
    </row>
    <row r="514" spans="1:8" ht="12.75" customHeight="1">
      <c r="A514" s="22" t="s">
        <v>108</v>
      </c>
      <c r="B514" s="22"/>
      <c r="C514" s="23"/>
      <c r="D514" s="23"/>
      <c r="E514" s="23"/>
      <c r="F514" s="23"/>
      <c r="G514" s="24"/>
      <c r="H514" s="36"/>
    </row>
    <row r="515" spans="1:8" ht="12.75" customHeight="1">
      <c r="A515" s="22">
        <v>44551</v>
      </c>
      <c r="B515" s="22"/>
      <c r="C515" s="26">
        <f>ROUND(101.685729608841,5)</f>
        <v>101.68573</v>
      </c>
      <c r="D515" s="26">
        <f>F515</f>
        <v>96.83896</v>
      </c>
      <c r="E515" s="26">
        <f>F515</f>
        <v>96.83896</v>
      </c>
      <c r="F515" s="26">
        <f>ROUND(96.8389582199786,5)</f>
        <v>96.83896</v>
      </c>
      <c r="G515" s="24"/>
      <c r="H515" s="36"/>
    </row>
    <row r="516" spans="1:8" ht="12.75" customHeight="1">
      <c r="A516" s="22" t="s">
        <v>109</v>
      </c>
      <c r="B516" s="22"/>
      <c r="C516" s="23"/>
      <c r="D516" s="23"/>
      <c r="E516" s="23"/>
      <c r="F516" s="23"/>
      <c r="G516" s="24"/>
      <c r="H516" s="36"/>
    </row>
    <row r="517" spans="1:8" ht="12.75" customHeight="1">
      <c r="A517" s="22">
        <v>44635</v>
      </c>
      <c r="B517" s="22"/>
      <c r="C517" s="26">
        <f>ROUND(101.685729608841,5)</f>
        <v>101.68573</v>
      </c>
      <c r="D517" s="26">
        <f>F517</f>
        <v>96.99096</v>
      </c>
      <c r="E517" s="26">
        <f>F517</f>
        <v>96.99096</v>
      </c>
      <c r="F517" s="26">
        <f>ROUND(96.9909598257928,5)</f>
        <v>96.99096</v>
      </c>
      <c r="G517" s="24"/>
      <c r="H517" s="36"/>
    </row>
    <row r="518" spans="1:8" ht="12.75" customHeight="1">
      <c r="A518" s="22" t="s">
        <v>110</v>
      </c>
      <c r="B518" s="22"/>
      <c r="C518" s="23"/>
      <c r="D518" s="23"/>
      <c r="E518" s="23"/>
      <c r="F518" s="23"/>
      <c r="G518" s="24"/>
      <c r="H518" s="36"/>
    </row>
    <row r="519" spans="1:8" ht="12.75" customHeight="1">
      <c r="A519" s="22">
        <v>44733</v>
      </c>
      <c r="B519" s="22"/>
      <c r="C519" s="26">
        <f>ROUND(101.685729608841,5)</f>
        <v>101.68573</v>
      </c>
      <c r="D519" s="26">
        <f>F519</f>
        <v>98.19529</v>
      </c>
      <c r="E519" s="26">
        <f>F519</f>
        <v>98.19529</v>
      </c>
      <c r="F519" s="26">
        <f>ROUND(98.195294728266,5)</f>
        <v>98.19529</v>
      </c>
      <c r="G519" s="24"/>
      <c r="H519" s="36"/>
    </row>
    <row r="520" spans="1:8" ht="12.75" customHeight="1">
      <c r="A520" s="22" t="s">
        <v>111</v>
      </c>
      <c r="B520" s="22"/>
      <c r="C520" s="23"/>
      <c r="D520" s="23"/>
      <c r="E520" s="23"/>
      <c r="F520" s="23"/>
      <c r="G520" s="24"/>
      <c r="H520" s="36"/>
    </row>
    <row r="521" spans="1:8" ht="12.75" customHeight="1">
      <c r="A521" s="22">
        <v>44824</v>
      </c>
      <c r="B521" s="22"/>
      <c r="C521" s="26">
        <f>ROUND(101.685729608841,5)</f>
        <v>101.68573</v>
      </c>
      <c r="D521" s="26">
        <f>F521</f>
        <v>100.41563</v>
      </c>
      <c r="E521" s="26">
        <f>F521</f>
        <v>100.41563</v>
      </c>
      <c r="F521" s="26">
        <f>ROUND(100.415632788657,5)</f>
        <v>100.41563</v>
      </c>
      <c r="G521" s="24"/>
      <c r="H521" s="36"/>
    </row>
    <row r="522" spans="1:8" ht="12.75" customHeight="1">
      <c r="A522" s="22" t="s">
        <v>112</v>
      </c>
      <c r="B522" s="22"/>
      <c r="C522" s="23"/>
      <c r="D522" s="23"/>
      <c r="E522" s="23"/>
      <c r="F522" s="23"/>
      <c r="G522" s="24"/>
      <c r="H522" s="36"/>
    </row>
    <row r="523" spans="1:8" ht="12.75" customHeight="1">
      <c r="A523" s="22">
        <v>46008</v>
      </c>
      <c r="B523" s="22"/>
      <c r="C523" s="26">
        <f>ROUND(101.884735608098,5)</f>
        <v>101.88474</v>
      </c>
      <c r="D523" s="26">
        <f>F523</f>
        <v>95.26803</v>
      </c>
      <c r="E523" s="26">
        <f>F523</f>
        <v>95.26803</v>
      </c>
      <c r="F523" s="26">
        <f>ROUND(95.2680296315691,5)</f>
        <v>95.26803</v>
      </c>
      <c r="G523" s="24"/>
      <c r="H523" s="36"/>
    </row>
    <row r="524" spans="1:8" ht="12.75" customHeight="1">
      <c r="A524" s="22" t="s">
        <v>113</v>
      </c>
      <c r="B524" s="22"/>
      <c r="C524" s="23"/>
      <c r="D524" s="23"/>
      <c r="E524" s="23"/>
      <c r="F524" s="23"/>
      <c r="G524" s="24"/>
      <c r="H524" s="36"/>
    </row>
    <row r="525" spans="1:8" ht="12.75" customHeight="1">
      <c r="A525" s="22">
        <v>46097</v>
      </c>
      <c r="B525" s="22"/>
      <c r="C525" s="26">
        <f>ROUND(101.884735608098,5)</f>
        <v>101.88474</v>
      </c>
      <c r="D525" s="26">
        <f>F525</f>
        <v>92.30212</v>
      </c>
      <c r="E525" s="26">
        <f>F525</f>
        <v>92.30212</v>
      </c>
      <c r="F525" s="26">
        <f>ROUND(92.3021166144632,5)</f>
        <v>92.30212</v>
      </c>
      <c r="G525" s="24"/>
      <c r="H525" s="36"/>
    </row>
    <row r="526" spans="1:8" ht="12.75" customHeight="1">
      <c r="A526" s="22" t="s">
        <v>114</v>
      </c>
      <c r="B526" s="22"/>
      <c r="C526" s="23"/>
      <c r="D526" s="23"/>
      <c r="E526" s="23"/>
      <c r="F526" s="23"/>
      <c r="G526" s="24"/>
      <c r="H526" s="36"/>
    </row>
    <row r="527" spans="1:8" ht="12.75" customHeight="1">
      <c r="A527" s="22">
        <v>46188</v>
      </c>
      <c r="B527" s="22"/>
      <c r="C527" s="26">
        <f>ROUND(101.884735608098,5)</f>
        <v>101.88474</v>
      </c>
      <c r="D527" s="26">
        <f>F527</f>
        <v>91.07328</v>
      </c>
      <c r="E527" s="26">
        <f>F527</f>
        <v>91.07328</v>
      </c>
      <c r="F527" s="26">
        <f>ROUND(91.0732806160377,5)</f>
        <v>91.07328</v>
      </c>
      <c r="G527" s="24"/>
      <c r="H527" s="36"/>
    </row>
    <row r="528" spans="1:8" ht="12.75" customHeight="1">
      <c r="A528" s="22" t="s">
        <v>115</v>
      </c>
      <c r="B528" s="22"/>
      <c r="C528" s="23"/>
      <c r="D528" s="23"/>
      <c r="E528" s="23"/>
      <c r="F528" s="23"/>
      <c r="G528" s="24"/>
      <c r="H528" s="36"/>
    </row>
    <row r="529" spans="1:8" ht="12.75" customHeight="1">
      <c r="A529" s="22">
        <v>46286</v>
      </c>
      <c r="B529" s="22"/>
      <c r="C529" s="26">
        <f>ROUND(101.884735608098,5)</f>
        <v>101.88474</v>
      </c>
      <c r="D529" s="26">
        <f>F529</f>
        <v>93.25033</v>
      </c>
      <c r="E529" s="26">
        <f>F529</f>
        <v>93.25033</v>
      </c>
      <c r="F529" s="26">
        <f>ROUND(93.2503348829118,5)</f>
        <v>93.25033</v>
      </c>
      <c r="G529" s="24"/>
      <c r="H529" s="36"/>
    </row>
    <row r="530" spans="1:8" ht="12.75" customHeight="1">
      <c r="A530" s="22" t="s">
        <v>116</v>
      </c>
      <c r="B530" s="22"/>
      <c r="C530" s="23"/>
      <c r="D530" s="23"/>
      <c r="E530" s="23"/>
      <c r="F530" s="23"/>
      <c r="G530" s="24"/>
      <c r="H530" s="36"/>
    </row>
    <row r="531" spans="1:8" ht="12.75" customHeight="1">
      <c r="A531" s="22">
        <v>46377</v>
      </c>
      <c r="B531" s="22"/>
      <c r="C531" s="26">
        <f>ROUND(101.884735608098,5)</f>
        <v>101.88474</v>
      </c>
      <c r="D531" s="26">
        <f>F531</f>
        <v>97.05124</v>
      </c>
      <c r="E531" s="26">
        <f>F531</f>
        <v>97.05124</v>
      </c>
      <c r="F531" s="26">
        <f>ROUND(97.0512386201539,5)</f>
        <v>97.05124</v>
      </c>
      <c r="G531" s="24"/>
      <c r="H531" s="36"/>
    </row>
    <row r="532" spans="1:8" ht="12.75" customHeight="1">
      <c r="A532" s="22" t="s">
        <v>117</v>
      </c>
      <c r="B532" s="22"/>
      <c r="C532" s="23"/>
      <c r="D532" s="23"/>
      <c r="E532" s="23"/>
      <c r="F532" s="23"/>
      <c r="G532" s="24"/>
      <c r="H532" s="36"/>
    </row>
    <row r="533" spans="1:8" ht="12.75" customHeight="1">
      <c r="A533" s="22">
        <v>46461</v>
      </c>
      <c r="B533" s="22"/>
      <c r="C533" s="26">
        <f>ROUND(101.884735608098,5)</f>
        <v>101.88474</v>
      </c>
      <c r="D533" s="26">
        <f>F533</f>
        <v>95.66159</v>
      </c>
      <c r="E533" s="26">
        <f>F533</f>
        <v>95.66159</v>
      </c>
      <c r="F533" s="26">
        <f>ROUND(95.6615882100582,5)</f>
        <v>95.66159</v>
      </c>
      <c r="G533" s="24"/>
      <c r="H533" s="36"/>
    </row>
    <row r="534" spans="1:8" ht="12.75" customHeight="1">
      <c r="A534" s="22" t="s">
        <v>118</v>
      </c>
      <c r="B534" s="22"/>
      <c r="C534" s="23"/>
      <c r="D534" s="23"/>
      <c r="E534" s="23"/>
      <c r="F534" s="23"/>
      <c r="G534" s="24"/>
      <c r="H534" s="36"/>
    </row>
    <row r="535" spans="1:8" ht="12.75" customHeight="1">
      <c r="A535" s="22">
        <v>46559</v>
      </c>
      <c r="B535" s="22"/>
      <c r="C535" s="26">
        <f>ROUND(101.884735608098,5)</f>
        <v>101.88474</v>
      </c>
      <c r="D535" s="26">
        <f>F535</f>
        <v>97.75748</v>
      </c>
      <c r="E535" s="26">
        <f>F535</f>
        <v>97.75748</v>
      </c>
      <c r="F535" s="26">
        <f>ROUND(97.7574838200789,5)</f>
        <v>97.75748</v>
      </c>
      <c r="G535" s="24"/>
      <c r="H535" s="36"/>
    </row>
    <row r="536" spans="1:8" ht="12.75" customHeight="1">
      <c r="A536" s="22" t="s">
        <v>119</v>
      </c>
      <c r="B536" s="22"/>
      <c r="C536" s="23"/>
      <c r="D536" s="23"/>
      <c r="E536" s="23"/>
      <c r="F536" s="23"/>
      <c r="G536" s="24"/>
      <c r="H536" s="36"/>
    </row>
    <row r="537" spans="1:8" ht="12.75" customHeight="1" thickBot="1">
      <c r="A537" s="32">
        <v>46650</v>
      </c>
      <c r="B537" s="32"/>
      <c r="C537" s="33">
        <f>ROUND(101.884735608098,5)</f>
        <v>101.88474</v>
      </c>
      <c r="D537" s="33">
        <f>F537</f>
        <v>101.50175</v>
      </c>
      <c r="E537" s="33">
        <f>F537</f>
        <v>101.50175</v>
      </c>
      <c r="F537" s="33">
        <f>ROUND(101.501749493782,5)</f>
        <v>101.50175</v>
      </c>
      <c r="G537" s="34"/>
      <c r="H537" s="37"/>
    </row>
  </sheetData>
  <sheetProtection/>
  <mergeCells count="536"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2017-10-06T16:03:55Z</dcterms:modified>
  <cp:category/>
  <cp:version/>
  <cp:contentType/>
  <cp:contentStatus/>
</cp:coreProperties>
</file>