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'Jerry'!$A$1:$H$612</definedName>
  </definedNames>
  <calcPr fullCalcOnLoad="1"/>
</workbook>
</file>

<file path=xl/sharedStrings.xml><?xml version="1.0" encoding="utf-8"?>
<sst xmlns="http://schemas.openxmlformats.org/spreadsheetml/2006/main" count="127" uniqueCount="123">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</sst>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1"/>
  <sheetViews>
    <sheetView tabSelected="1" zoomScaleSheetLayoutView="75" zoomScalePageLayoutView="0" workbookViewId="0" topLeftCell="A1">
      <selection activeCell="L18" sqref="L18:M18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43087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43090</v>
      </c>
      <c r="B6" s="23"/>
      <c r="C6" s="24">
        <f>ROUND(99.8576243423658,2)</f>
        <v>99.86</v>
      </c>
      <c r="D6" s="24">
        <f>F6</f>
        <v>99.76</v>
      </c>
      <c r="E6" s="24">
        <f>F6</f>
        <v>99.76</v>
      </c>
      <c r="F6" s="24">
        <f>ROUND(99.7594638587207,2)</f>
        <v>99.76</v>
      </c>
      <c r="G6" s="24"/>
      <c r="H6" s="25"/>
    </row>
    <row r="7" spans="1:8" ht="12.75" customHeight="1">
      <c r="A7" s="23">
        <v>43174</v>
      </c>
      <c r="B7" s="23"/>
      <c r="C7" s="24">
        <f>ROUND(99.8576243423658,2)</f>
        <v>99.86</v>
      </c>
      <c r="D7" s="24">
        <f>F7</f>
        <v>99.72</v>
      </c>
      <c r="E7" s="24">
        <f>F7</f>
        <v>99.72</v>
      </c>
      <c r="F7" s="24">
        <f>ROUND(99.7245818929707,2)</f>
        <v>99.72</v>
      </c>
      <c r="G7" s="24"/>
      <c r="H7" s="25"/>
    </row>
    <row r="8" spans="1:8" ht="12.75" customHeight="1">
      <c r="A8" s="23">
        <v>43272</v>
      </c>
      <c r="B8" s="23"/>
      <c r="C8" s="24">
        <f>ROUND(99.8576243423658,2)</f>
        <v>99.86</v>
      </c>
      <c r="D8" s="24">
        <f>F8</f>
        <v>99.92</v>
      </c>
      <c r="E8" s="24">
        <f>F8</f>
        <v>99.92</v>
      </c>
      <c r="F8" s="24">
        <f>ROUND(99.9245312471306,2)</f>
        <v>99.92</v>
      </c>
      <c r="G8" s="24"/>
      <c r="H8" s="25"/>
    </row>
    <row r="9" spans="1:8" ht="12.75" customHeight="1">
      <c r="A9" s="23">
        <v>43363</v>
      </c>
      <c r="B9" s="23"/>
      <c r="C9" s="24">
        <f>ROUND(99.8576243423658,2)</f>
        <v>99.86</v>
      </c>
      <c r="D9" s="24">
        <f>F9</f>
        <v>100.16</v>
      </c>
      <c r="E9" s="24">
        <f>F9</f>
        <v>100.16</v>
      </c>
      <c r="F9" s="24">
        <f>ROUND(100.159455743918,2)</f>
        <v>100.16</v>
      </c>
      <c r="G9" s="24"/>
      <c r="H9" s="25"/>
    </row>
    <row r="10" spans="1:8" ht="12.75" customHeight="1">
      <c r="A10" s="23">
        <v>43454</v>
      </c>
      <c r="B10" s="23"/>
      <c r="C10" s="24">
        <f>ROUND(99.8576243423658,2)</f>
        <v>99.86</v>
      </c>
      <c r="D10" s="24">
        <f>F10</f>
        <v>100.72</v>
      </c>
      <c r="E10" s="24">
        <f>F10</f>
        <v>100.72</v>
      </c>
      <c r="F10" s="24">
        <f>ROUND(100.719789112755,2)</f>
        <v>100.72</v>
      </c>
      <c r="G10" s="24"/>
      <c r="H10" s="25"/>
    </row>
    <row r="11" spans="1:8" ht="12.75" customHeight="1">
      <c r="A11" s="23">
        <v>43546</v>
      </c>
      <c r="B11" s="23"/>
      <c r="C11" s="24">
        <f>ROUND(99.8576243423658,2)</f>
        <v>99.86</v>
      </c>
      <c r="D11" s="24">
        <f>F11</f>
        <v>99.86</v>
      </c>
      <c r="E11" s="24">
        <f>F11</f>
        <v>99.86</v>
      </c>
      <c r="F11" s="24">
        <f>ROUND(99.8576243423658,2)</f>
        <v>99.86</v>
      </c>
      <c r="G11" s="24"/>
      <c r="H11" s="25"/>
    </row>
    <row r="12" spans="1:8" ht="12.75" customHeight="1">
      <c r="A12" s="23" t="s">
        <v>13</v>
      </c>
      <c r="B12" s="23"/>
      <c r="C12" s="26"/>
      <c r="D12" s="26"/>
      <c r="E12" s="26"/>
      <c r="F12" s="26"/>
      <c r="G12" s="24"/>
      <c r="H12" s="25"/>
    </row>
    <row r="13" spans="1:8" ht="12.75" customHeight="1">
      <c r="A13" s="23">
        <v>43087</v>
      </c>
      <c r="B13" s="23"/>
      <c r="C13" s="24">
        <f>ROUND(99.5900725854636,2)</f>
        <v>99.59</v>
      </c>
      <c r="D13" s="24">
        <f>F13</f>
        <v>99.8</v>
      </c>
      <c r="E13" s="24">
        <f>F13</f>
        <v>99.8</v>
      </c>
      <c r="F13" s="24">
        <f>ROUND(99.7969996717177,2)</f>
        <v>99.8</v>
      </c>
      <c r="G13" s="24"/>
      <c r="H13" s="25"/>
    </row>
    <row r="14" spans="1:8" ht="12.75" customHeight="1">
      <c r="A14" s="23">
        <v>43175</v>
      </c>
      <c r="B14" s="23"/>
      <c r="C14" s="24">
        <f>ROUND(99.5900725854636,2)</f>
        <v>99.59</v>
      </c>
      <c r="D14" s="24">
        <f>F14</f>
        <v>99.01</v>
      </c>
      <c r="E14" s="24">
        <f>F14</f>
        <v>99.01</v>
      </c>
      <c r="F14" s="24">
        <f>ROUND(99.0075015427945,2)</f>
        <v>99.01</v>
      </c>
      <c r="G14" s="24"/>
      <c r="H14" s="25"/>
    </row>
    <row r="15" spans="1:8" ht="12.75" customHeight="1">
      <c r="A15" s="23">
        <v>43266</v>
      </c>
      <c r="B15" s="23"/>
      <c r="C15" s="24">
        <f>ROUND(99.5900725854636,2)</f>
        <v>99.59</v>
      </c>
      <c r="D15" s="24">
        <f>F15</f>
        <v>98.61</v>
      </c>
      <c r="E15" s="24">
        <f>F15</f>
        <v>98.61</v>
      </c>
      <c r="F15" s="24">
        <f>ROUND(98.6101032430438,2)</f>
        <v>98.61</v>
      </c>
      <c r="G15" s="24"/>
      <c r="H15" s="25"/>
    </row>
    <row r="16" spans="1:8" ht="12.75" customHeight="1">
      <c r="A16" s="23">
        <v>43364</v>
      </c>
      <c r="B16" s="23"/>
      <c r="C16" s="24">
        <f>ROUND(99.5900725854636,2)</f>
        <v>99.59</v>
      </c>
      <c r="D16" s="24">
        <f>F16</f>
        <v>98.63</v>
      </c>
      <c r="E16" s="24">
        <f>F16</f>
        <v>98.63</v>
      </c>
      <c r="F16" s="24">
        <f>ROUND(98.6291132625336,2)</f>
        <v>98.63</v>
      </c>
      <c r="G16" s="24"/>
      <c r="H16" s="25"/>
    </row>
    <row r="17" spans="1:8" ht="12.75" customHeight="1">
      <c r="A17" s="23">
        <v>43455</v>
      </c>
      <c r="B17" s="23"/>
      <c r="C17" s="24">
        <f>ROUND(99.5900725854636,2)</f>
        <v>99.59</v>
      </c>
      <c r="D17" s="24">
        <f>F17</f>
        <v>99.1</v>
      </c>
      <c r="E17" s="24">
        <f>F17</f>
        <v>99.1</v>
      </c>
      <c r="F17" s="24">
        <f>ROUND(99.102235253685,2)</f>
        <v>99.1</v>
      </c>
      <c r="G17" s="24"/>
      <c r="H17" s="25"/>
    </row>
    <row r="18" spans="1:8" ht="12.75" customHeight="1">
      <c r="A18" s="23">
        <v>43539</v>
      </c>
      <c r="B18" s="23"/>
      <c r="C18" s="24">
        <f>ROUND(99.5900725854636,2)</f>
        <v>99.59</v>
      </c>
      <c r="D18" s="24">
        <f>F18</f>
        <v>99.6</v>
      </c>
      <c r="E18" s="24">
        <f>F18</f>
        <v>99.6</v>
      </c>
      <c r="F18" s="24">
        <f>ROUND(99.5954629315606,2)</f>
        <v>99.6</v>
      </c>
      <c r="G18" s="24"/>
      <c r="H18" s="25"/>
    </row>
    <row r="19" spans="1:8" ht="12.75" customHeight="1">
      <c r="A19" s="23">
        <v>43637</v>
      </c>
      <c r="B19" s="23"/>
      <c r="C19" s="24">
        <f>ROUND(99.5900725854636,2)</f>
        <v>99.59</v>
      </c>
      <c r="D19" s="24">
        <f>F19</f>
        <v>100.1</v>
      </c>
      <c r="E19" s="24">
        <f>F19</f>
        <v>100.1</v>
      </c>
      <c r="F19" s="24">
        <f>ROUND(100.104262240439,2)</f>
        <v>100.1</v>
      </c>
      <c r="G19" s="24"/>
      <c r="H19" s="25"/>
    </row>
    <row r="20" spans="1:8" ht="12.75" customHeight="1">
      <c r="A20" s="23">
        <v>43728</v>
      </c>
      <c r="B20" s="23"/>
      <c r="C20" s="24">
        <f>ROUND(99.5900725854636,2)</f>
        <v>99.59</v>
      </c>
      <c r="D20" s="24">
        <f>F20</f>
        <v>100.63</v>
      </c>
      <c r="E20" s="24">
        <f>F20</f>
        <v>100.63</v>
      </c>
      <c r="F20" s="24">
        <f>ROUND(100.629336402304,2)</f>
        <v>100.63</v>
      </c>
      <c r="G20" s="24"/>
      <c r="H20" s="25"/>
    </row>
    <row r="21" spans="1:8" ht="12.75" customHeight="1">
      <c r="A21" s="23">
        <v>43819</v>
      </c>
      <c r="B21" s="23"/>
      <c r="C21" s="24">
        <f>ROUND(99.5900725854636,2)</f>
        <v>99.59</v>
      </c>
      <c r="D21" s="24">
        <f>F21</f>
        <v>101.7</v>
      </c>
      <c r="E21" s="24">
        <f>F21</f>
        <v>101.7</v>
      </c>
      <c r="F21" s="24">
        <f>ROUND(101.697188295953,2)</f>
        <v>101.7</v>
      </c>
      <c r="G21" s="24"/>
      <c r="H21" s="25"/>
    </row>
    <row r="22" spans="1:8" ht="12.75" customHeight="1">
      <c r="A22" s="23">
        <v>43913</v>
      </c>
      <c r="B22" s="23"/>
      <c r="C22" s="24">
        <f>ROUND(99.5900725854636,2)</f>
        <v>99.59</v>
      </c>
      <c r="D22" s="24">
        <f>F22</f>
        <v>99.59</v>
      </c>
      <c r="E22" s="24">
        <f>F22</f>
        <v>99.59</v>
      </c>
      <c r="F22" s="24">
        <f>ROUND(99.5900725854636,2)</f>
        <v>99.59</v>
      </c>
      <c r="G22" s="24"/>
      <c r="H22" s="25"/>
    </row>
    <row r="23" spans="1:8" ht="12.75" customHeight="1">
      <c r="A23" s="23" t="s">
        <v>14</v>
      </c>
      <c r="B23" s="23"/>
      <c r="C23" s="26"/>
      <c r="D23" s="26"/>
      <c r="E23" s="26"/>
      <c r="F23" s="26"/>
      <c r="G23" s="24"/>
      <c r="H23" s="25"/>
    </row>
    <row r="24" spans="1:8" ht="12.75" customHeight="1">
      <c r="A24" s="23">
        <v>44182</v>
      </c>
      <c r="B24" s="23"/>
      <c r="C24" s="24">
        <f>ROUND(98.7808284600049,2)</f>
        <v>98.78</v>
      </c>
      <c r="D24" s="24">
        <f>F24</f>
        <v>97.38</v>
      </c>
      <c r="E24" s="24">
        <f>F24</f>
        <v>97.38</v>
      </c>
      <c r="F24" s="24">
        <f>ROUND(97.3835947915968,2)</f>
        <v>97.38</v>
      </c>
      <c r="G24" s="24"/>
      <c r="H24" s="25"/>
    </row>
    <row r="25" spans="1:8" ht="12.75" customHeight="1">
      <c r="A25" s="23">
        <v>44271</v>
      </c>
      <c r="B25" s="23"/>
      <c r="C25" s="24">
        <f>ROUND(98.7808284600049,2)</f>
        <v>98.78</v>
      </c>
      <c r="D25" s="24">
        <f>F25</f>
        <v>96.7</v>
      </c>
      <c r="E25" s="24">
        <f>F25</f>
        <v>96.7</v>
      </c>
      <c r="F25" s="24">
        <f>ROUND(96.7027973096918,2)</f>
        <v>96.7</v>
      </c>
      <c r="G25" s="24"/>
      <c r="H25" s="25"/>
    </row>
    <row r="26" spans="1:8" ht="12.75" customHeight="1">
      <c r="A26" s="23">
        <v>44362</v>
      </c>
      <c r="B26" s="23"/>
      <c r="C26" s="24">
        <f>ROUND(98.7808284600049,2)</f>
        <v>98.78</v>
      </c>
      <c r="D26" s="24">
        <f>F26</f>
        <v>95.99</v>
      </c>
      <c r="E26" s="24">
        <f>F26</f>
        <v>95.99</v>
      </c>
      <c r="F26" s="24">
        <f>ROUND(95.98932354931,2)</f>
        <v>95.99</v>
      </c>
      <c r="G26" s="24"/>
      <c r="H26" s="25"/>
    </row>
    <row r="27" spans="1:8" ht="12.75" customHeight="1">
      <c r="A27" s="23">
        <v>44460</v>
      </c>
      <c r="B27" s="23"/>
      <c r="C27" s="24">
        <f>ROUND(98.7808284600049,2)</f>
        <v>98.78</v>
      </c>
      <c r="D27" s="24">
        <f>F27</f>
        <v>96.25</v>
      </c>
      <c r="E27" s="24">
        <f>F27</f>
        <v>96.25</v>
      </c>
      <c r="F27" s="24">
        <f>ROUND(96.250898506526,2)</f>
        <v>96.25</v>
      </c>
      <c r="G27" s="24"/>
      <c r="H27" s="25"/>
    </row>
    <row r="28" spans="1:8" ht="12.75" customHeight="1">
      <c r="A28" s="23">
        <v>44551</v>
      </c>
      <c r="B28" s="23"/>
      <c r="C28" s="24">
        <f>ROUND(98.7808284600049,2)</f>
        <v>98.78</v>
      </c>
      <c r="D28" s="24">
        <f>F28</f>
        <v>98.51</v>
      </c>
      <c r="E28" s="24">
        <f>F28</f>
        <v>98.51</v>
      </c>
      <c r="F28" s="24">
        <f>ROUND(98.5084162700482,2)</f>
        <v>98.51</v>
      </c>
      <c r="G28" s="24"/>
      <c r="H28" s="25"/>
    </row>
    <row r="29" spans="1:8" ht="12.75" customHeight="1">
      <c r="A29" s="23">
        <v>44635</v>
      </c>
      <c r="B29" s="23"/>
      <c r="C29" s="24">
        <f>ROUND(98.7808284600049,2)</f>
        <v>98.78</v>
      </c>
      <c r="D29" s="24">
        <f>F29</f>
        <v>98.72</v>
      </c>
      <c r="E29" s="24">
        <f>F29</f>
        <v>98.72</v>
      </c>
      <c r="F29" s="24">
        <f>ROUND(98.7176788694803,2)</f>
        <v>98.72</v>
      </c>
      <c r="G29" s="24"/>
      <c r="H29" s="25"/>
    </row>
    <row r="30" spans="1:8" ht="12.75" customHeight="1">
      <c r="A30" s="23">
        <v>44733</v>
      </c>
      <c r="B30" s="23"/>
      <c r="C30" s="24">
        <f>ROUND(98.7808284600049,2)</f>
        <v>98.78</v>
      </c>
      <c r="D30" s="24">
        <f>F30</f>
        <v>99.98</v>
      </c>
      <c r="E30" s="24">
        <f>F30</f>
        <v>99.98</v>
      </c>
      <c r="F30" s="24">
        <f>ROUND(99.9846413164789,2)</f>
        <v>99.98</v>
      </c>
      <c r="G30" s="24"/>
      <c r="H30" s="25"/>
    </row>
    <row r="31" spans="1:8" ht="12.75" customHeight="1">
      <c r="A31" s="23">
        <v>44824</v>
      </c>
      <c r="B31" s="23"/>
      <c r="C31" s="24">
        <f>ROUND(98.7808284600049,2)</f>
        <v>98.78</v>
      </c>
      <c r="D31" s="24">
        <f>F31</f>
        <v>102.24</v>
      </c>
      <c r="E31" s="24">
        <f>F31</f>
        <v>102.24</v>
      </c>
      <c r="F31" s="24">
        <f>ROUND(102.23917330819,2)</f>
        <v>102.24</v>
      </c>
      <c r="G31" s="24"/>
      <c r="H31" s="25"/>
    </row>
    <row r="32" spans="1:8" ht="12.75" customHeight="1">
      <c r="A32" s="23">
        <v>44915</v>
      </c>
      <c r="B32" s="23"/>
      <c r="C32" s="24">
        <f>ROUND(98.7808284600049,2)</f>
        <v>98.78</v>
      </c>
      <c r="D32" s="24">
        <f>F32</f>
        <v>103.54</v>
      </c>
      <c r="E32" s="24">
        <f>F32</f>
        <v>103.54</v>
      </c>
      <c r="F32" s="24">
        <f>ROUND(103.542247822188,2)</f>
        <v>103.54</v>
      </c>
      <c r="G32" s="24"/>
      <c r="H32" s="25"/>
    </row>
    <row r="33" spans="1:8" ht="12.75" customHeight="1">
      <c r="A33" s="23">
        <v>45007</v>
      </c>
      <c r="B33" s="23"/>
      <c r="C33" s="24">
        <f>ROUND(98.7808284600049,2)</f>
        <v>98.78</v>
      </c>
      <c r="D33" s="24">
        <f>F33</f>
        <v>98.78</v>
      </c>
      <c r="E33" s="24">
        <f>F33</f>
        <v>98.78</v>
      </c>
      <c r="F33" s="24">
        <f>ROUND(98.7808284600049,2)</f>
        <v>98.78</v>
      </c>
      <c r="G33" s="24"/>
      <c r="H33" s="25"/>
    </row>
    <row r="34" spans="1:8" ht="12.75" customHeight="1">
      <c r="A34" s="23" t="s">
        <v>15</v>
      </c>
      <c r="B34" s="23"/>
      <c r="C34" s="26"/>
      <c r="D34" s="26"/>
      <c r="E34" s="26"/>
      <c r="F34" s="26"/>
      <c r="G34" s="24"/>
      <c r="H34" s="25"/>
    </row>
    <row r="35" spans="1:8" ht="12.75" customHeight="1">
      <c r="A35" s="23">
        <v>46008</v>
      </c>
      <c r="B35" s="23"/>
      <c r="C35" s="24">
        <f>ROUND(99.2260338075755,2)</f>
        <v>99.23</v>
      </c>
      <c r="D35" s="24">
        <f>F35</f>
        <v>97.41</v>
      </c>
      <c r="E35" s="24">
        <f>F35</f>
        <v>97.41</v>
      </c>
      <c r="F35" s="24">
        <f>ROUND(97.4078739855545,2)</f>
        <v>97.41</v>
      </c>
      <c r="G35" s="24"/>
      <c r="H35" s="25"/>
    </row>
    <row r="36" spans="1:8" ht="12.75" customHeight="1">
      <c r="A36" s="23">
        <v>46097</v>
      </c>
      <c r="B36" s="23"/>
      <c r="C36" s="24">
        <f>ROUND(99.2260338075755,2)</f>
        <v>99.23</v>
      </c>
      <c r="D36" s="24">
        <f>F36</f>
        <v>94.48</v>
      </c>
      <c r="E36" s="24">
        <f>F36</f>
        <v>94.48</v>
      </c>
      <c r="F36" s="24">
        <f>ROUND(94.4827971341974,2)</f>
        <v>94.48</v>
      </c>
      <c r="G36" s="24"/>
      <c r="H36" s="25"/>
    </row>
    <row r="37" spans="1:8" ht="12.75" customHeight="1">
      <c r="A37" s="23">
        <v>46188</v>
      </c>
      <c r="B37" s="23"/>
      <c r="C37" s="24">
        <f>ROUND(99.2260338075755,2)</f>
        <v>99.23</v>
      </c>
      <c r="D37" s="24">
        <f>F37</f>
        <v>93.27</v>
      </c>
      <c r="E37" s="24">
        <f>F37</f>
        <v>93.27</v>
      </c>
      <c r="F37" s="24">
        <f>ROUND(93.2701569215201,2)</f>
        <v>93.27</v>
      </c>
      <c r="G37" s="24"/>
      <c r="H37" s="25"/>
    </row>
    <row r="38" spans="1:8" ht="12.75" customHeight="1">
      <c r="A38" s="23">
        <v>46286</v>
      </c>
      <c r="B38" s="23"/>
      <c r="C38" s="24">
        <f>ROUND(99.2260338075755,2)</f>
        <v>99.23</v>
      </c>
      <c r="D38" s="24">
        <f>F38</f>
        <v>95.41</v>
      </c>
      <c r="E38" s="24">
        <f>F38</f>
        <v>95.41</v>
      </c>
      <c r="F38" s="24">
        <f>ROUND(95.4130665491861,2)</f>
        <v>95.41</v>
      </c>
      <c r="G38" s="24"/>
      <c r="H38" s="25"/>
    </row>
    <row r="39" spans="1:8" ht="12.75" customHeight="1">
      <c r="A39" s="23">
        <v>46377</v>
      </c>
      <c r="B39" s="23"/>
      <c r="C39" s="24">
        <f>ROUND(99.2260338075755,2)</f>
        <v>99.23</v>
      </c>
      <c r="D39" s="24">
        <f>F39</f>
        <v>99.15</v>
      </c>
      <c r="E39" s="24">
        <f>F39</f>
        <v>99.15</v>
      </c>
      <c r="F39" s="24">
        <f>ROUND(99.1480851967432,2)</f>
        <v>99.15</v>
      </c>
      <c r="G39" s="24"/>
      <c r="H39" s="25"/>
    </row>
    <row r="40" spans="1:8" ht="12.75" customHeight="1">
      <c r="A40" s="23">
        <v>46461</v>
      </c>
      <c r="B40" s="23"/>
      <c r="C40" s="24">
        <f>ROUND(99.2260338075755,2)</f>
        <v>99.23</v>
      </c>
      <c r="D40" s="24">
        <f>F40</f>
        <v>97.76</v>
      </c>
      <c r="E40" s="24">
        <f>F40</f>
        <v>97.76</v>
      </c>
      <c r="F40" s="24">
        <f>ROUND(97.7609409401554,2)</f>
        <v>97.76</v>
      </c>
      <c r="G40" s="24"/>
      <c r="H40" s="25"/>
    </row>
    <row r="41" spans="1:8" ht="12.75" customHeight="1">
      <c r="A41" s="23">
        <v>46559</v>
      </c>
      <c r="B41" s="23"/>
      <c r="C41" s="24">
        <f>ROUND(99.2260338075755,2)</f>
        <v>99.23</v>
      </c>
      <c r="D41" s="24">
        <f>F41</f>
        <v>99.81</v>
      </c>
      <c r="E41" s="24">
        <f>F41</f>
        <v>99.81</v>
      </c>
      <c r="F41" s="24">
        <f>ROUND(99.8110238534776,2)</f>
        <v>99.81</v>
      </c>
      <c r="G41" s="24"/>
      <c r="H41" s="25"/>
    </row>
    <row r="42" spans="1:8" ht="12.75" customHeight="1">
      <c r="A42" s="23">
        <v>46650</v>
      </c>
      <c r="B42" s="23"/>
      <c r="C42" s="24">
        <f>ROUND(99.2260338075755,2)</f>
        <v>99.23</v>
      </c>
      <c r="D42" s="24">
        <f>F42</f>
        <v>103.48</v>
      </c>
      <c r="E42" s="24">
        <f>F42</f>
        <v>103.48</v>
      </c>
      <c r="F42" s="24">
        <f>ROUND(103.481041245846,2)</f>
        <v>103.48</v>
      </c>
      <c r="G42" s="24"/>
      <c r="H42" s="25"/>
    </row>
    <row r="43" spans="1:8" ht="12.75" customHeight="1">
      <c r="A43" s="23">
        <v>46741</v>
      </c>
      <c r="B43" s="23"/>
      <c r="C43" s="24">
        <f>ROUND(99.2260338075755,2)</f>
        <v>99.23</v>
      </c>
      <c r="D43" s="24">
        <f>F43</f>
        <v>103.85</v>
      </c>
      <c r="E43" s="24">
        <f>F43</f>
        <v>103.85</v>
      </c>
      <c r="F43" s="24">
        <f>ROUND(103.849214172481,2)</f>
        <v>103.85</v>
      </c>
      <c r="G43" s="24"/>
      <c r="H43" s="25"/>
    </row>
    <row r="44" spans="1:8" ht="12.75" customHeight="1">
      <c r="A44" s="23">
        <v>46834</v>
      </c>
      <c r="B44" s="23"/>
      <c r="C44" s="24">
        <f>ROUND(99.2260338075755,2)</f>
        <v>99.23</v>
      </c>
      <c r="D44" s="24">
        <f>F44</f>
        <v>99.23</v>
      </c>
      <c r="E44" s="24">
        <f>F44</f>
        <v>99.23</v>
      </c>
      <c r="F44" s="24">
        <f>ROUND(99.2260338075755,2)</f>
        <v>99.23</v>
      </c>
      <c r="G44" s="24"/>
      <c r="H44" s="25"/>
    </row>
    <row r="45" spans="1:8" ht="12.75" customHeight="1">
      <c r="A45" s="23" t="s">
        <v>16</v>
      </c>
      <c r="B45" s="23"/>
      <c r="C45" s="26"/>
      <c r="D45" s="26"/>
      <c r="E45" s="26"/>
      <c r="F45" s="26"/>
      <c r="G45" s="24"/>
      <c r="H45" s="25"/>
    </row>
    <row r="46" spans="1:8" ht="12.75" customHeight="1">
      <c r="A46" s="23">
        <v>45688</v>
      </c>
      <c r="B46" s="23"/>
      <c r="C46" s="27">
        <f>ROUND(2.65,5)</f>
        <v>2.65</v>
      </c>
      <c r="D46" s="27">
        <f>F46</f>
        <v>2.65</v>
      </c>
      <c r="E46" s="27">
        <f>F46</f>
        <v>2.65</v>
      </c>
      <c r="F46" s="27">
        <f>ROUND(2.65,5)</f>
        <v>2.65</v>
      </c>
      <c r="G46" s="24"/>
      <c r="H46" s="25"/>
    </row>
    <row r="47" spans="1:8" ht="12.75" customHeight="1">
      <c r="A47" s="23" t="s">
        <v>17</v>
      </c>
      <c r="B47" s="23"/>
      <c r="C47" s="28"/>
      <c r="D47" s="28"/>
      <c r="E47" s="28"/>
      <c r="F47" s="28"/>
      <c r="G47" s="24"/>
      <c r="H47" s="25"/>
    </row>
    <row r="48" spans="1:8" ht="12.75" customHeight="1">
      <c r="A48" s="23">
        <v>50436</v>
      </c>
      <c r="B48" s="23"/>
      <c r="C48" s="27">
        <f>ROUND(2.67,5)</f>
        <v>2.67</v>
      </c>
      <c r="D48" s="27">
        <f>F48</f>
        <v>2.67</v>
      </c>
      <c r="E48" s="27">
        <f>F48</f>
        <v>2.67</v>
      </c>
      <c r="F48" s="27">
        <f>ROUND(2.67,5)</f>
        <v>2.67</v>
      </c>
      <c r="G48" s="24"/>
      <c r="H48" s="25"/>
    </row>
    <row r="49" spans="1:8" ht="12.75" customHeight="1">
      <c r="A49" s="23" t="s">
        <v>18</v>
      </c>
      <c r="B49" s="23"/>
      <c r="C49" s="26"/>
      <c r="D49" s="26"/>
      <c r="E49" s="26"/>
      <c r="F49" s="26"/>
      <c r="G49" s="24"/>
      <c r="H49" s="25"/>
    </row>
    <row r="50" spans="1:8" ht="12.75" customHeight="1">
      <c r="A50" s="23">
        <v>55153</v>
      </c>
      <c r="B50" s="23"/>
      <c r="C50" s="27">
        <f>ROUND(2.85,5)</f>
        <v>2.85</v>
      </c>
      <c r="D50" s="27">
        <f>F50</f>
        <v>2.85</v>
      </c>
      <c r="E50" s="27">
        <f>F50</f>
        <v>2.85</v>
      </c>
      <c r="F50" s="27">
        <f>ROUND(2.85,5)</f>
        <v>2.85</v>
      </c>
      <c r="G50" s="24"/>
      <c r="H50" s="25"/>
    </row>
    <row r="51" spans="1:8" ht="12.75" customHeight="1">
      <c r="A51" s="23" t="s">
        <v>19</v>
      </c>
      <c r="B51" s="23"/>
      <c r="C51" s="26"/>
      <c r="D51" s="26"/>
      <c r="E51" s="26"/>
      <c r="F51" s="26"/>
      <c r="G51" s="24"/>
      <c r="H51" s="25"/>
    </row>
    <row r="52" spans="1:8" ht="12.75" customHeight="1">
      <c r="A52" s="23">
        <v>46875</v>
      </c>
      <c r="B52" s="23"/>
      <c r="C52" s="27">
        <f>ROUND(3.39,5)</f>
        <v>3.39</v>
      </c>
      <c r="D52" s="27">
        <f>F52</f>
        <v>3.39</v>
      </c>
      <c r="E52" s="27">
        <f>F52</f>
        <v>3.39</v>
      </c>
      <c r="F52" s="27">
        <f>ROUND(3.39,5)</f>
        <v>3.39</v>
      </c>
      <c r="G52" s="24"/>
      <c r="H52" s="25"/>
    </row>
    <row r="53" spans="1:8" ht="12.75" customHeight="1">
      <c r="A53" s="23" t="s">
        <v>20</v>
      </c>
      <c r="B53" s="23"/>
      <c r="C53" s="26"/>
      <c r="D53" s="26"/>
      <c r="E53" s="26"/>
      <c r="F53" s="26"/>
      <c r="G53" s="24"/>
      <c r="H53" s="25"/>
    </row>
    <row r="54" spans="1:8" ht="12.75" customHeight="1">
      <c r="A54" s="23">
        <v>48837</v>
      </c>
      <c r="B54" s="23"/>
      <c r="C54" s="27">
        <f>ROUND(10.88,5)</f>
        <v>10.88</v>
      </c>
      <c r="D54" s="27">
        <f>F54</f>
        <v>10.88</v>
      </c>
      <c r="E54" s="27">
        <f>F54</f>
        <v>10.88</v>
      </c>
      <c r="F54" s="27">
        <f>ROUND(10.88,5)</f>
        <v>10.88</v>
      </c>
      <c r="G54" s="24"/>
      <c r="H54" s="25"/>
    </row>
    <row r="55" spans="1:8" ht="12.75" customHeight="1">
      <c r="A55" s="23" t="s">
        <v>21</v>
      </c>
      <c r="B55" s="23"/>
      <c r="C55" s="26"/>
      <c r="D55" s="26"/>
      <c r="E55" s="26"/>
      <c r="F55" s="26"/>
      <c r="G55" s="24"/>
      <c r="H55" s="25"/>
    </row>
    <row r="56" spans="1:8" ht="12.75" customHeight="1">
      <c r="A56" s="23">
        <v>44985</v>
      </c>
      <c r="B56" s="23"/>
      <c r="C56" s="27">
        <f>ROUND(8.335,5)</f>
        <v>8.335</v>
      </c>
      <c r="D56" s="27">
        <f>F56</f>
        <v>8.335</v>
      </c>
      <c r="E56" s="27">
        <f>F56</f>
        <v>8.335</v>
      </c>
      <c r="F56" s="27">
        <f>ROUND(8.335,5)</f>
        <v>8.335</v>
      </c>
      <c r="G56" s="24"/>
      <c r="H56" s="25"/>
    </row>
    <row r="57" spans="1:8" ht="12.75" customHeight="1">
      <c r="A57" s="23" t="s">
        <v>22</v>
      </c>
      <c r="B57" s="23"/>
      <c r="C57" s="28"/>
      <c r="D57" s="28"/>
      <c r="E57" s="28"/>
      <c r="F57" s="28"/>
      <c r="G57" s="24"/>
      <c r="H57" s="25"/>
    </row>
    <row r="58" spans="1:8" ht="12.75" customHeight="1">
      <c r="A58" s="23">
        <v>46377</v>
      </c>
      <c r="B58" s="23"/>
      <c r="C58" s="29">
        <f>ROUND(8.95,3)</f>
        <v>8.95</v>
      </c>
      <c r="D58" s="29">
        <f>F58</f>
        <v>8.95</v>
      </c>
      <c r="E58" s="29">
        <f>F58</f>
        <v>8.95</v>
      </c>
      <c r="F58" s="29">
        <f>ROUND(8.95,3)</f>
        <v>8.95</v>
      </c>
      <c r="G58" s="24"/>
      <c r="H58" s="25"/>
    </row>
    <row r="59" spans="1:8" ht="12.75" customHeight="1">
      <c r="A59" s="23" t="s">
        <v>23</v>
      </c>
      <c r="B59" s="23"/>
      <c r="C59" s="26"/>
      <c r="D59" s="26"/>
      <c r="E59" s="26"/>
      <c r="F59" s="26"/>
      <c r="G59" s="24"/>
      <c r="H59" s="25"/>
    </row>
    <row r="60" spans="1:8" ht="12.75" customHeight="1">
      <c r="A60" s="23">
        <v>45267</v>
      </c>
      <c r="B60" s="23"/>
      <c r="C60" s="29">
        <f>ROUND(2.57,3)</f>
        <v>2.57</v>
      </c>
      <c r="D60" s="29">
        <f>F60</f>
        <v>2.57</v>
      </c>
      <c r="E60" s="29">
        <f>F60</f>
        <v>2.57</v>
      </c>
      <c r="F60" s="29">
        <f>ROUND(2.57,3)</f>
        <v>2.57</v>
      </c>
      <c r="G60" s="24"/>
      <c r="H60" s="25"/>
    </row>
    <row r="61" spans="1:8" ht="12.75" customHeight="1">
      <c r="A61" s="23" t="s">
        <v>24</v>
      </c>
      <c r="B61" s="23"/>
      <c r="C61" s="26"/>
      <c r="D61" s="26"/>
      <c r="E61" s="26"/>
      <c r="F61" s="26"/>
      <c r="G61" s="24"/>
      <c r="H61" s="25"/>
    </row>
    <row r="62" spans="1:8" ht="12.75" customHeight="1">
      <c r="A62" s="23">
        <v>48920</v>
      </c>
      <c r="B62" s="23"/>
      <c r="C62" s="29">
        <f>ROUND(2.73,3)</f>
        <v>2.73</v>
      </c>
      <c r="D62" s="29">
        <f>F62</f>
        <v>2.73</v>
      </c>
      <c r="E62" s="29">
        <f>F62</f>
        <v>2.73</v>
      </c>
      <c r="F62" s="29">
        <f>ROUND(2.73,3)</f>
        <v>2.73</v>
      </c>
      <c r="G62" s="24"/>
      <c r="H62" s="25"/>
    </row>
    <row r="63" spans="1:8" ht="12.75" customHeight="1">
      <c r="A63" s="23" t="s">
        <v>25</v>
      </c>
      <c r="B63" s="23"/>
      <c r="C63" s="26"/>
      <c r="D63" s="26"/>
      <c r="E63" s="26"/>
      <c r="F63" s="26"/>
      <c r="G63" s="24"/>
      <c r="H63" s="25"/>
    </row>
    <row r="64" spans="1:8" ht="12.75" customHeight="1">
      <c r="A64" s="23">
        <v>43455</v>
      </c>
      <c r="B64" s="23"/>
      <c r="C64" s="29">
        <f>ROUND(7.39,3)</f>
        <v>7.39</v>
      </c>
      <c r="D64" s="29">
        <f>F64</f>
        <v>7.39</v>
      </c>
      <c r="E64" s="29">
        <f>F64</f>
        <v>7.39</v>
      </c>
      <c r="F64" s="29">
        <f>ROUND(7.39,3)</f>
        <v>7.39</v>
      </c>
      <c r="G64" s="24"/>
      <c r="H64" s="25"/>
    </row>
    <row r="65" spans="1:8" ht="12.75" customHeight="1">
      <c r="A65" s="23" t="s">
        <v>26</v>
      </c>
      <c r="B65" s="23"/>
      <c r="C65" s="28"/>
      <c r="D65" s="28"/>
      <c r="E65" s="28"/>
      <c r="F65" s="28"/>
      <c r="G65" s="24"/>
      <c r="H65" s="25"/>
    </row>
    <row r="66" spans="1:8" ht="12.75" customHeight="1">
      <c r="A66" s="23">
        <v>43845</v>
      </c>
      <c r="B66" s="23"/>
      <c r="C66" s="29">
        <f>ROUND(7.765,3)</f>
        <v>7.765</v>
      </c>
      <c r="D66" s="29">
        <f>F66</f>
        <v>7.765</v>
      </c>
      <c r="E66" s="29">
        <f>F66</f>
        <v>7.765</v>
      </c>
      <c r="F66" s="29">
        <f>ROUND(7.765,3)</f>
        <v>7.765</v>
      </c>
      <c r="G66" s="24"/>
      <c r="H66" s="25"/>
    </row>
    <row r="67" spans="1:8" ht="12.75" customHeight="1">
      <c r="A67" s="23" t="s">
        <v>27</v>
      </c>
      <c r="B67" s="23"/>
      <c r="C67" s="26"/>
      <c r="D67" s="26"/>
      <c r="E67" s="26"/>
      <c r="F67" s="26"/>
      <c r="G67" s="24"/>
      <c r="H67" s="25"/>
    </row>
    <row r="68" spans="1:8" ht="12.75" customHeight="1">
      <c r="A68" s="23">
        <v>44286</v>
      </c>
      <c r="B68" s="23"/>
      <c r="C68" s="29">
        <f>ROUND(8.02,3)</f>
        <v>8.02</v>
      </c>
      <c r="D68" s="29">
        <f>F68</f>
        <v>8.02</v>
      </c>
      <c r="E68" s="29">
        <f>F68</f>
        <v>8.02</v>
      </c>
      <c r="F68" s="29">
        <f>ROUND(8.02,3)</f>
        <v>8.02</v>
      </c>
      <c r="G68" s="24"/>
      <c r="H68" s="25"/>
    </row>
    <row r="69" spans="1:8" ht="12.75" customHeight="1">
      <c r="A69" s="23" t="s">
        <v>28</v>
      </c>
      <c r="B69" s="23"/>
      <c r="C69" s="26"/>
      <c r="D69" s="26"/>
      <c r="E69" s="26"/>
      <c r="F69" s="26"/>
      <c r="G69" s="24"/>
      <c r="H69" s="25"/>
    </row>
    <row r="70" spans="1:8" ht="12.75" customHeight="1">
      <c r="A70" s="23">
        <v>49765</v>
      </c>
      <c r="B70" s="23"/>
      <c r="C70" s="29">
        <f>ROUND(9.64,3)</f>
        <v>9.64</v>
      </c>
      <c r="D70" s="29">
        <f>F70</f>
        <v>9.64</v>
      </c>
      <c r="E70" s="29">
        <f>F70</f>
        <v>9.64</v>
      </c>
      <c r="F70" s="29">
        <f>ROUND(9.64,3)</f>
        <v>9.64</v>
      </c>
      <c r="G70" s="24"/>
      <c r="H70" s="25"/>
    </row>
    <row r="71" spans="1:8" ht="12.75" customHeight="1">
      <c r="A71" s="23" t="s">
        <v>29</v>
      </c>
      <c r="B71" s="23"/>
      <c r="C71" s="28"/>
      <c r="D71" s="28"/>
      <c r="E71" s="28"/>
      <c r="F71" s="28"/>
      <c r="G71" s="24"/>
      <c r="H71" s="25"/>
    </row>
    <row r="72" spans="1:8" ht="12.75" customHeight="1">
      <c r="A72" s="23">
        <v>46843</v>
      </c>
      <c r="B72" s="23"/>
      <c r="C72" s="29">
        <f>ROUND(2.67,3)</f>
        <v>2.67</v>
      </c>
      <c r="D72" s="29">
        <f>F72</f>
        <v>2.67</v>
      </c>
      <c r="E72" s="29">
        <f>F72</f>
        <v>2.67</v>
      </c>
      <c r="F72" s="29">
        <f>ROUND(2.67,3)</f>
        <v>2.67</v>
      </c>
      <c r="G72" s="24"/>
      <c r="H72" s="25"/>
    </row>
    <row r="73" spans="1:8" ht="12.75" customHeight="1">
      <c r="A73" s="23" t="s">
        <v>30</v>
      </c>
      <c r="B73" s="23"/>
      <c r="C73" s="26"/>
      <c r="D73" s="26"/>
      <c r="E73" s="26"/>
      <c r="F73" s="26"/>
      <c r="G73" s="24"/>
      <c r="H73" s="25"/>
    </row>
    <row r="74" spans="1:8" ht="12.75" customHeight="1">
      <c r="A74" s="23">
        <v>44592</v>
      </c>
      <c r="B74" s="23"/>
      <c r="C74" s="29">
        <f>ROUND(2.53,3)</f>
        <v>2.53</v>
      </c>
      <c r="D74" s="29">
        <f>F74</f>
        <v>2.53</v>
      </c>
      <c r="E74" s="29">
        <f>F74</f>
        <v>2.53</v>
      </c>
      <c r="F74" s="29">
        <f>ROUND(2.53,3)</f>
        <v>2.53</v>
      </c>
      <c r="G74" s="24"/>
      <c r="H74" s="25"/>
    </row>
    <row r="75" spans="1:8" ht="12.75" customHeight="1">
      <c r="A75" s="23" t="s">
        <v>31</v>
      </c>
      <c r="B75" s="23"/>
      <c r="C75" s="26"/>
      <c r="D75" s="26"/>
      <c r="E75" s="26"/>
      <c r="F75" s="26"/>
      <c r="G75" s="24"/>
      <c r="H75" s="25"/>
    </row>
    <row r="76" spans="1:8" ht="12.75" customHeight="1">
      <c r="A76" s="23">
        <v>47907</v>
      </c>
      <c r="B76" s="23"/>
      <c r="C76" s="29">
        <f>ROUND(9.475,3)</f>
        <v>9.475</v>
      </c>
      <c r="D76" s="29">
        <f>F76</f>
        <v>9.475</v>
      </c>
      <c r="E76" s="29">
        <f>F76</f>
        <v>9.475</v>
      </c>
      <c r="F76" s="29">
        <f>ROUND(9.475,3)</f>
        <v>9.475</v>
      </c>
      <c r="G76" s="24"/>
      <c r="H76" s="25"/>
    </row>
    <row r="77" spans="1:8" ht="12.75" customHeight="1">
      <c r="A77" s="23" t="s">
        <v>32</v>
      </c>
      <c r="B77" s="23"/>
      <c r="C77" s="26"/>
      <c r="D77" s="26"/>
      <c r="E77" s="26"/>
      <c r="F77" s="26"/>
      <c r="G77" s="24"/>
      <c r="H77" s="25"/>
    </row>
    <row r="78" spans="1:8" ht="12.75" customHeight="1">
      <c r="A78" s="23">
        <v>43132</v>
      </c>
      <c r="B78" s="23"/>
      <c r="C78" s="27">
        <f>ROUND(2.65,5)</f>
        <v>2.65</v>
      </c>
      <c r="D78" s="27">
        <f>F78</f>
        <v>128.81259</v>
      </c>
      <c r="E78" s="27">
        <f>F78</f>
        <v>128.81259</v>
      </c>
      <c r="F78" s="27">
        <f>ROUND(128.81259,5)</f>
        <v>128.81259</v>
      </c>
      <c r="G78" s="24"/>
      <c r="H78" s="25"/>
    </row>
    <row r="79" spans="1:8" ht="12.75" customHeight="1">
      <c r="A79" s="23">
        <v>43223</v>
      </c>
      <c r="B79" s="23"/>
      <c r="C79" s="27">
        <f>ROUND(2.65,5)</f>
        <v>2.65</v>
      </c>
      <c r="D79" s="27">
        <f>F79</f>
        <v>131.22733</v>
      </c>
      <c r="E79" s="27">
        <f>F79</f>
        <v>131.22733</v>
      </c>
      <c r="F79" s="27">
        <f>ROUND(131.22733,5)</f>
        <v>131.22733</v>
      </c>
      <c r="G79" s="24"/>
      <c r="H79" s="25"/>
    </row>
    <row r="80" spans="1:8" ht="12.75" customHeight="1">
      <c r="A80" s="23">
        <v>43314</v>
      </c>
      <c r="B80" s="23"/>
      <c r="C80" s="27">
        <f>ROUND(2.65,5)</f>
        <v>2.65</v>
      </c>
      <c r="D80" s="27">
        <f>F80</f>
        <v>133.68289</v>
      </c>
      <c r="E80" s="27">
        <f>F80</f>
        <v>133.68289</v>
      </c>
      <c r="F80" s="27">
        <f>ROUND(133.68289,5)</f>
        <v>133.68289</v>
      </c>
      <c r="G80" s="24"/>
      <c r="H80" s="25"/>
    </row>
    <row r="81" spans="1:8" ht="12.75" customHeight="1">
      <c r="A81" s="23">
        <v>43405</v>
      </c>
      <c r="B81" s="23"/>
      <c r="C81" s="27">
        <f>ROUND(2.65,5)</f>
        <v>2.65</v>
      </c>
      <c r="D81" s="27">
        <f>F81</f>
        <v>136.31592</v>
      </c>
      <c r="E81" s="27">
        <f>F81</f>
        <v>136.31592</v>
      </c>
      <c r="F81" s="27">
        <f>ROUND(136.31592,5)</f>
        <v>136.31592</v>
      </c>
      <c r="G81" s="24"/>
      <c r="H81" s="25"/>
    </row>
    <row r="82" spans="1:8" ht="12.75" customHeight="1">
      <c r="A82" s="23">
        <v>43503</v>
      </c>
      <c r="B82" s="23"/>
      <c r="C82" s="27">
        <f>ROUND(2.65,5)</f>
        <v>2.65</v>
      </c>
      <c r="D82" s="27">
        <f>F82</f>
        <v>139.08142</v>
      </c>
      <c r="E82" s="27">
        <f>F82</f>
        <v>139.08142</v>
      </c>
      <c r="F82" s="27">
        <f>ROUND(139.08142,5)</f>
        <v>139.08142</v>
      </c>
      <c r="G82" s="24"/>
      <c r="H82" s="25"/>
    </row>
    <row r="83" spans="1:8" ht="12.75" customHeight="1">
      <c r="A83" s="23" t="s">
        <v>33</v>
      </c>
      <c r="B83" s="23"/>
      <c r="C83" s="30"/>
      <c r="D83" s="30"/>
      <c r="E83" s="30"/>
      <c r="F83" s="30"/>
      <c r="G83" s="24"/>
      <c r="H83" s="25"/>
    </row>
    <row r="84" spans="1:8" ht="12.75" customHeight="1">
      <c r="A84" s="23">
        <v>43132</v>
      </c>
      <c r="B84" s="23"/>
      <c r="C84" s="27">
        <f>ROUND(98.79282,5)</f>
        <v>98.79282</v>
      </c>
      <c r="D84" s="27">
        <f>F84</f>
        <v>99.73022</v>
      </c>
      <c r="E84" s="27">
        <f>F84</f>
        <v>99.73022</v>
      </c>
      <c r="F84" s="27">
        <f>ROUND(99.73022,5)</f>
        <v>99.73022</v>
      </c>
      <c r="G84" s="24"/>
      <c r="H84" s="25"/>
    </row>
    <row r="85" spans="1:8" ht="12.75" customHeight="1">
      <c r="A85" s="23">
        <v>43223</v>
      </c>
      <c r="B85" s="23"/>
      <c r="C85" s="27">
        <f>ROUND(98.79282,5)</f>
        <v>98.79282</v>
      </c>
      <c r="D85" s="27">
        <f>F85</f>
        <v>100.58171</v>
      </c>
      <c r="E85" s="27">
        <f>F85</f>
        <v>100.58171</v>
      </c>
      <c r="F85" s="27">
        <f>ROUND(100.58171,5)</f>
        <v>100.58171</v>
      </c>
      <c r="G85" s="24"/>
      <c r="H85" s="25"/>
    </row>
    <row r="86" spans="1:8" ht="12.75" customHeight="1">
      <c r="A86" s="23">
        <v>43314</v>
      </c>
      <c r="B86" s="23"/>
      <c r="C86" s="27">
        <f>ROUND(98.79282,5)</f>
        <v>98.79282</v>
      </c>
      <c r="D86" s="27">
        <f>F86</f>
        <v>102.4979</v>
      </c>
      <c r="E86" s="27">
        <f>F86</f>
        <v>102.4979</v>
      </c>
      <c r="F86" s="27">
        <f>ROUND(102.4979,5)</f>
        <v>102.4979</v>
      </c>
      <c r="G86" s="24"/>
      <c r="H86" s="25"/>
    </row>
    <row r="87" spans="1:8" ht="12.75" customHeight="1">
      <c r="A87" s="23">
        <v>43405</v>
      </c>
      <c r="B87" s="23"/>
      <c r="C87" s="27">
        <f>ROUND(98.79282,5)</f>
        <v>98.79282</v>
      </c>
      <c r="D87" s="27">
        <f>F87</f>
        <v>104.51675</v>
      </c>
      <c r="E87" s="27">
        <f>F87</f>
        <v>104.51675</v>
      </c>
      <c r="F87" s="27">
        <f>ROUND(104.51675,5)</f>
        <v>104.51675</v>
      </c>
      <c r="G87" s="24"/>
      <c r="H87" s="25"/>
    </row>
    <row r="88" spans="1:8" ht="12.75" customHeight="1">
      <c r="A88" s="23">
        <v>43503</v>
      </c>
      <c r="B88" s="23"/>
      <c r="C88" s="27">
        <f>ROUND(98.79282,5)</f>
        <v>98.79282</v>
      </c>
      <c r="D88" s="27">
        <f>F88</f>
        <v>106.63698</v>
      </c>
      <c r="E88" s="27">
        <f>F88</f>
        <v>106.63698</v>
      </c>
      <c r="F88" s="27">
        <f>ROUND(106.63698,5)</f>
        <v>106.63698</v>
      </c>
      <c r="G88" s="24"/>
      <c r="H88" s="25"/>
    </row>
    <row r="89" spans="1:8" ht="12.75" customHeight="1">
      <c r="A89" s="23" t="s">
        <v>34</v>
      </c>
      <c r="B89" s="23"/>
      <c r="C89" s="26"/>
      <c r="D89" s="26"/>
      <c r="E89" s="26"/>
      <c r="F89" s="26"/>
      <c r="G89" s="24"/>
      <c r="H89" s="25"/>
    </row>
    <row r="90" spans="1:8" ht="12.75" customHeight="1">
      <c r="A90" s="23">
        <v>43132</v>
      </c>
      <c r="B90" s="23"/>
      <c r="C90" s="27">
        <f>ROUND(9.42,5)</f>
        <v>9.42</v>
      </c>
      <c r="D90" s="27">
        <f>F90</f>
        <v>9.45358</v>
      </c>
      <c r="E90" s="27">
        <f>F90</f>
        <v>9.45358</v>
      </c>
      <c r="F90" s="27">
        <f>ROUND(9.45358,5)</f>
        <v>9.45358</v>
      </c>
      <c r="G90" s="24"/>
      <c r="H90" s="25"/>
    </row>
    <row r="91" spans="1:8" ht="12.75" customHeight="1">
      <c r="A91" s="23">
        <v>43223</v>
      </c>
      <c r="B91" s="23"/>
      <c r="C91" s="27">
        <f>ROUND(9.42,5)</f>
        <v>9.42</v>
      </c>
      <c r="D91" s="27">
        <f>F91</f>
        <v>9.52022</v>
      </c>
      <c r="E91" s="27">
        <f>F91</f>
        <v>9.52022</v>
      </c>
      <c r="F91" s="27">
        <f>ROUND(9.52022,5)</f>
        <v>9.52022</v>
      </c>
      <c r="G91" s="24"/>
      <c r="H91" s="25"/>
    </row>
    <row r="92" spans="1:8" ht="12.75" customHeight="1">
      <c r="A92" s="23">
        <v>43314</v>
      </c>
      <c r="B92" s="23"/>
      <c r="C92" s="27">
        <f>ROUND(9.42,5)</f>
        <v>9.42</v>
      </c>
      <c r="D92" s="27">
        <f>F92</f>
        <v>9.58827</v>
      </c>
      <c r="E92" s="27">
        <f>F92</f>
        <v>9.58827</v>
      </c>
      <c r="F92" s="27">
        <f>ROUND(9.58827,5)</f>
        <v>9.58827</v>
      </c>
      <c r="G92" s="24"/>
      <c r="H92" s="25"/>
    </row>
    <row r="93" spans="1:8" ht="12.75" customHeight="1">
      <c r="A93" s="23">
        <v>43405</v>
      </c>
      <c r="B93" s="23"/>
      <c r="C93" s="27">
        <f>ROUND(9.42,5)</f>
        <v>9.42</v>
      </c>
      <c r="D93" s="27">
        <f>F93</f>
        <v>9.64675</v>
      </c>
      <c r="E93" s="27">
        <f>F93</f>
        <v>9.64675</v>
      </c>
      <c r="F93" s="27">
        <f>ROUND(9.64675,5)</f>
        <v>9.64675</v>
      </c>
      <c r="G93" s="24"/>
      <c r="H93" s="25"/>
    </row>
    <row r="94" spans="1:8" ht="12.75" customHeight="1">
      <c r="A94" s="23">
        <v>43503</v>
      </c>
      <c r="B94" s="23"/>
      <c r="C94" s="27">
        <f>ROUND(9.42,5)</f>
        <v>9.42</v>
      </c>
      <c r="D94" s="27">
        <f>F94</f>
        <v>9.72248</v>
      </c>
      <c r="E94" s="27">
        <f>F94</f>
        <v>9.72248</v>
      </c>
      <c r="F94" s="27">
        <f>ROUND(9.72248,5)</f>
        <v>9.72248</v>
      </c>
      <c r="G94" s="24"/>
      <c r="H94" s="25"/>
    </row>
    <row r="95" spans="1:8" ht="12.75" customHeight="1">
      <c r="A95" s="23" t="s">
        <v>35</v>
      </c>
      <c r="B95" s="23"/>
      <c r="C95" s="26"/>
      <c r="D95" s="26"/>
      <c r="E95" s="26"/>
      <c r="F95" s="26"/>
      <c r="G95" s="24"/>
      <c r="H95" s="25"/>
    </row>
    <row r="96" spans="1:8" ht="12.75" customHeight="1">
      <c r="A96" s="23">
        <v>43132</v>
      </c>
      <c r="B96" s="23"/>
      <c r="C96" s="27">
        <f>ROUND(9.585,5)</f>
        <v>9.585</v>
      </c>
      <c r="D96" s="27">
        <f>F96</f>
        <v>9.61998</v>
      </c>
      <c r="E96" s="27">
        <f>F96</f>
        <v>9.61998</v>
      </c>
      <c r="F96" s="27">
        <f>ROUND(9.61998,5)</f>
        <v>9.61998</v>
      </c>
      <c r="G96" s="24"/>
      <c r="H96" s="25"/>
    </row>
    <row r="97" spans="1:8" ht="12.75" customHeight="1">
      <c r="A97" s="23">
        <v>43223</v>
      </c>
      <c r="B97" s="23"/>
      <c r="C97" s="27">
        <f>ROUND(9.585,5)</f>
        <v>9.585</v>
      </c>
      <c r="D97" s="27">
        <f>F97</f>
        <v>9.68537</v>
      </c>
      <c r="E97" s="27">
        <f>F97</f>
        <v>9.68537</v>
      </c>
      <c r="F97" s="27">
        <f>ROUND(9.68537,5)</f>
        <v>9.68537</v>
      </c>
      <c r="G97" s="24"/>
      <c r="H97" s="25"/>
    </row>
    <row r="98" spans="1:8" ht="12.75" customHeight="1">
      <c r="A98" s="23">
        <v>43314</v>
      </c>
      <c r="B98" s="23"/>
      <c r="C98" s="27">
        <f>ROUND(9.585,5)</f>
        <v>9.585</v>
      </c>
      <c r="D98" s="27">
        <f>F98</f>
        <v>9.74975</v>
      </c>
      <c r="E98" s="27">
        <f>F98</f>
        <v>9.74975</v>
      </c>
      <c r="F98" s="27">
        <f>ROUND(9.74975,5)</f>
        <v>9.74975</v>
      </c>
      <c r="G98" s="24"/>
      <c r="H98" s="25"/>
    </row>
    <row r="99" spans="1:8" ht="12.75" customHeight="1">
      <c r="A99" s="23">
        <v>43405</v>
      </c>
      <c r="B99" s="23"/>
      <c r="C99" s="27">
        <f>ROUND(9.585,5)</f>
        <v>9.585</v>
      </c>
      <c r="D99" s="27">
        <f>F99</f>
        <v>9.81194</v>
      </c>
      <c r="E99" s="27">
        <f>F99</f>
        <v>9.81194</v>
      </c>
      <c r="F99" s="27">
        <f>ROUND(9.81194,5)</f>
        <v>9.81194</v>
      </c>
      <c r="G99" s="24"/>
      <c r="H99" s="25"/>
    </row>
    <row r="100" spans="1:8" ht="12.75" customHeight="1">
      <c r="A100" s="23">
        <v>43503</v>
      </c>
      <c r="B100" s="23"/>
      <c r="C100" s="27">
        <f>ROUND(9.585,5)</f>
        <v>9.585</v>
      </c>
      <c r="D100" s="27">
        <f>F100</f>
        <v>9.8899</v>
      </c>
      <c r="E100" s="27">
        <f>F100</f>
        <v>9.8899</v>
      </c>
      <c r="F100" s="27">
        <f>ROUND(9.8899,5)</f>
        <v>9.8899</v>
      </c>
      <c r="G100" s="24"/>
      <c r="H100" s="25"/>
    </row>
    <row r="101" spans="1:8" ht="12.75" customHeight="1">
      <c r="A101" s="23" t="s">
        <v>36</v>
      </c>
      <c r="B101" s="23"/>
      <c r="C101" s="26"/>
      <c r="D101" s="26"/>
      <c r="E101" s="26"/>
      <c r="F101" s="26"/>
      <c r="G101" s="24"/>
      <c r="H101" s="25"/>
    </row>
    <row r="102" spans="1:8" ht="12.75" customHeight="1">
      <c r="A102" s="23">
        <v>43132</v>
      </c>
      <c r="B102" s="23"/>
      <c r="C102" s="27">
        <f>ROUND(102.81939,5)</f>
        <v>102.81939</v>
      </c>
      <c r="D102" s="27">
        <f>F102</f>
        <v>103.79498</v>
      </c>
      <c r="E102" s="27">
        <f>F102</f>
        <v>103.79498</v>
      </c>
      <c r="F102" s="27">
        <f>ROUND(103.79498,5)</f>
        <v>103.79498</v>
      </c>
      <c r="G102" s="24"/>
      <c r="H102" s="25"/>
    </row>
    <row r="103" spans="1:8" ht="12.75" customHeight="1">
      <c r="A103" s="23">
        <v>43223</v>
      </c>
      <c r="B103" s="23"/>
      <c r="C103" s="27">
        <f>ROUND(102.81939,5)</f>
        <v>102.81939</v>
      </c>
      <c r="D103" s="27">
        <f>F103</f>
        <v>104.6522</v>
      </c>
      <c r="E103" s="27">
        <f>F103</f>
        <v>104.6522</v>
      </c>
      <c r="F103" s="27">
        <f>ROUND(104.6522,5)</f>
        <v>104.6522</v>
      </c>
      <c r="G103" s="24"/>
      <c r="H103" s="25"/>
    </row>
    <row r="104" spans="1:8" ht="12.75" customHeight="1">
      <c r="A104" s="23">
        <v>43314</v>
      </c>
      <c r="B104" s="23"/>
      <c r="C104" s="27">
        <f>ROUND(102.81939,5)</f>
        <v>102.81939</v>
      </c>
      <c r="D104" s="27">
        <f>F104</f>
        <v>106.64589</v>
      </c>
      <c r="E104" s="27">
        <f>F104</f>
        <v>106.64589</v>
      </c>
      <c r="F104" s="27">
        <f>ROUND(106.64589,5)</f>
        <v>106.64589</v>
      </c>
      <c r="G104" s="24"/>
      <c r="H104" s="25"/>
    </row>
    <row r="105" spans="1:8" ht="12.75" customHeight="1">
      <c r="A105" s="23">
        <v>43405</v>
      </c>
      <c r="B105" s="23"/>
      <c r="C105" s="27">
        <f>ROUND(102.81939,5)</f>
        <v>102.81939</v>
      </c>
      <c r="D105" s="27">
        <f>F105</f>
        <v>108.74642</v>
      </c>
      <c r="E105" s="27">
        <f>F105</f>
        <v>108.74642</v>
      </c>
      <c r="F105" s="27">
        <f>ROUND(108.74642,5)</f>
        <v>108.74642</v>
      </c>
      <c r="G105" s="24"/>
      <c r="H105" s="25"/>
    </row>
    <row r="106" spans="1:8" ht="12.75" customHeight="1">
      <c r="A106" s="23">
        <v>43503</v>
      </c>
      <c r="B106" s="23"/>
      <c r="C106" s="27">
        <f>ROUND(102.81939,5)</f>
        <v>102.81939</v>
      </c>
      <c r="D106" s="27">
        <f>F106</f>
        <v>110.95254</v>
      </c>
      <c r="E106" s="27">
        <f>F106</f>
        <v>110.95254</v>
      </c>
      <c r="F106" s="27">
        <f>ROUND(110.95254,5)</f>
        <v>110.95254</v>
      </c>
      <c r="G106" s="24"/>
      <c r="H106" s="25"/>
    </row>
    <row r="107" spans="1:8" ht="12.75" customHeight="1">
      <c r="A107" s="23" t="s">
        <v>37</v>
      </c>
      <c r="B107" s="23"/>
      <c r="C107" s="26"/>
      <c r="D107" s="26"/>
      <c r="E107" s="26"/>
      <c r="F107" s="26"/>
      <c r="G107" s="24"/>
      <c r="H107" s="25"/>
    </row>
    <row r="108" spans="1:8" ht="12.75" customHeight="1">
      <c r="A108" s="23">
        <v>43132</v>
      </c>
      <c r="B108" s="23"/>
      <c r="C108" s="27">
        <f>ROUND(9.79,5)</f>
        <v>9.79</v>
      </c>
      <c r="D108" s="27">
        <f>F108</f>
        <v>9.82352</v>
      </c>
      <c r="E108" s="27">
        <f>F108</f>
        <v>9.82352</v>
      </c>
      <c r="F108" s="27">
        <f>ROUND(9.82352,5)</f>
        <v>9.82352</v>
      </c>
      <c r="G108" s="24"/>
      <c r="H108" s="25"/>
    </row>
    <row r="109" spans="1:8" ht="12.75" customHeight="1">
      <c r="A109" s="23">
        <v>43223</v>
      </c>
      <c r="B109" s="23"/>
      <c r="C109" s="27">
        <f>ROUND(9.79,5)</f>
        <v>9.79</v>
      </c>
      <c r="D109" s="27">
        <f>F109</f>
        <v>9.88939</v>
      </c>
      <c r="E109" s="27">
        <f>F109</f>
        <v>9.88939</v>
      </c>
      <c r="F109" s="27">
        <f>ROUND(9.88939,5)</f>
        <v>9.88939</v>
      </c>
      <c r="G109" s="24"/>
      <c r="H109" s="25"/>
    </row>
    <row r="110" spans="1:8" ht="12.75" customHeight="1">
      <c r="A110" s="23">
        <v>43314</v>
      </c>
      <c r="B110" s="23"/>
      <c r="C110" s="27">
        <f>ROUND(9.79,5)</f>
        <v>9.79</v>
      </c>
      <c r="D110" s="27">
        <f>F110</f>
        <v>9.95645</v>
      </c>
      <c r="E110" s="27">
        <f>F110</f>
        <v>9.95645</v>
      </c>
      <c r="F110" s="27">
        <f>ROUND(9.95645,5)</f>
        <v>9.95645</v>
      </c>
      <c r="G110" s="24"/>
      <c r="H110" s="25"/>
    </row>
    <row r="111" spans="1:8" ht="12.75" customHeight="1">
      <c r="A111" s="23">
        <v>43405</v>
      </c>
      <c r="B111" s="23"/>
      <c r="C111" s="27">
        <f>ROUND(9.79,5)</f>
        <v>9.79</v>
      </c>
      <c r="D111" s="27">
        <f>F111</f>
        <v>10.01487</v>
      </c>
      <c r="E111" s="27">
        <f>F111</f>
        <v>10.01487</v>
      </c>
      <c r="F111" s="27">
        <f>ROUND(10.01487,5)</f>
        <v>10.01487</v>
      </c>
      <c r="G111" s="24"/>
      <c r="H111" s="25"/>
    </row>
    <row r="112" spans="1:8" ht="12.75" customHeight="1">
      <c r="A112" s="23">
        <v>43503</v>
      </c>
      <c r="B112" s="23"/>
      <c r="C112" s="27">
        <f>ROUND(9.79,5)</f>
        <v>9.79</v>
      </c>
      <c r="D112" s="27">
        <f>F112</f>
        <v>10.08828</v>
      </c>
      <c r="E112" s="27">
        <f>F112</f>
        <v>10.08828</v>
      </c>
      <c r="F112" s="27">
        <f>ROUND(10.08828,5)</f>
        <v>10.08828</v>
      </c>
      <c r="G112" s="24"/>
      <c r="H112" s="25"/>
    </row>
    <row r="113" spans="1:8" ht="12.75" customHeight="1">
      <c r="A113" s="23" t="s">
        <v>38</v>
      </c>
      <c r="B113" s="23"/>
      <c r="C113" s="26"/>
      <c r="D113" s="26"/>
      <c r="E113" s="26"/>
      <c r="F113" s="26"/>
      <c r="G113" s="24"/>
      <c r="H113" s="25"/>
    </row>
    <row r="114" spans="1:8" ht="12.75" customHeight="1">
      <c r="A114" s="23">
        <v>43132</v>
      </c>
      <c r="B114" s="23"/>
      <c r="C114" s="27">
        <f>ROUND(2.67,5)</f>
        <v>2.67</v>
      </c>
      <c r="D114" s="27">
        <f>F114</f>
        <v>125.65566</v>
      </c>
      <c r="E114" s="27">
        <f>F114</f>
        <v>125.65566</v>
      </c>
      <c r="F114" s="27">
        <f>ROUND(125.65566,5)</f>
        <v>125.65566</v>
      </c>
      <c r="G114" s="24"/>
      <c r="H114" s="25"/>
    </row>
    <row r="115" spans="1:8" ht="12.75" customHeight="1">
      <c r="A115" s="23">
        <v>43223</v>
      </c>
      <c r="B115" s="23"/>
      <c r="C115" s="27">
        <f>ROUND(2.67,5)</f>
        <v>2.67</v>
      </c>
      <c r="D115" s="27">
        <f>F115</f>
        <v>128.01129</v>
      </c>
      <c r="E115" s="27">
        <f>F115</f>
        <v>128.01129</v>
      </c>
      <c r="F115" s="27">
        <f>ROUND(128.01129,5)</f>
        <v>128.01129</v>
      </c>
      <c r="G115" s="24"/>
      <c r="H115" s="25"/>
    </row>
    <row r="116" spans="1:8" ht="12.75" customHeight="1">
      <c r="A116" s="23">
        <v>43314</v>
      </c>
      <c r="B116" s="23"/>
      <c r="C116" s="27">
        <f>ROUND(2.67,5)</f>
        <v>2.67</v>
      </c>
      <c r="D116" s="27">
        <f>F116</f>
        <v>130.4</v>
      </c>
      <c r="E116" s="27">
        <f>F116</f>
        <v>130.4</v>
      </c>
      <c r="F116" s="27">
        <f>ROUND(130.4,5)</f>
        <v>130.4</v>
      </c>
      <c r="G116" s="24"/>
      <c r="H116" s="25"/>
    </row>
    <row r="117" spans="1:8" ht="12.75" customHeight="1">
      <c r="A117" s="23">
        <v>43405</v>
      </c>
      <c r="B117" s="23"/>
      <c r="C117" s="27">
        <f>ROUND(2.67,5)</f>
        <v>2.67</v>
      </c>
      <c r="D117" s="27">
        <f>F117</f>
        <v>132.96838</v>
      </c>
      <c r="E117" s="27">
        <f>F117</f>
        <v>132.96838</v>
      </c>
      <c r="F117" s="27">
        <f>ROUND(132.96838,5)</f>
        <v>132.96838</v>
      </c>
      <c r="G117" s="24"/>
      <c r="H117" s="25"/>
    </row>
    <row r="118" spans="1:8" ht="12.75" customHeight="1">
      <c r="A118" s="23">
        <v>43503</v>
      </c>
      <c r="B118" s="23"/>
      <c r="C118" s="27">
        <f>ROUND(2.67,5)</f>
        <v>2.67</v>
      </c>
      <c r="D118" s="27">
        <f>F118</f>
        <v>135.66594</v>
      </c>
      <c r="E118" s="27">
        <f>F118</f>
        <v>135.66594</v>
      </c>
      <c r="F118" s="27">
        <f>ROUND(135.66594,5)</f>
        <v>135.66594</v>
      </c>
      <c r="G118" s="24"/>
      <c r="H118" s="25"/>
    </row>
    <row r="119" spans="1:8" ht="12.75" customHeight="1">
      <c r="A119" s="23" t="s">
        <v>39</v>
      </c>
      <c r="B119" s="23"/>
      <c r="C119" s="28"/>
      <c r="D119" s="28"/>
      <c r="E119" s="28"/>
      <c r="F119" s="28"/>
      <c r="G119" s="24"/>
      <c r="H119" s="25"/>
    </row>
    <row r="120" spans="1:8" ht="12.75" customHeight="1">
      <c r="A120" s="23">
        <v>43132</v>
      </c>
      <c r="B120" s="23"/>
      <c r="C120" s="27">
        <f>ROUND(9.865,5)</f>
        <v>9.865</v>
      </c>
      <c r="D120" s="27">
        <f>F120</f>
        <v>9.89859</v>
      </c>
      <c r="E120" s="27">
        <f>F120</f>
        <v>9.89859</v>
      </c>
      <c r="F120" s="27">
        <f>ROUND(9.89859,5)</f>
        <v>9.89859</v>
      </c>
      <c r="G120" s="24"/>
      <c r="H120" s="25"/>
    </row>
    <row r="121" spans="1:8" ht="12.75" customHeight="1">
      <c r="A121" s="23">
        <v>43223</v>
      </c>
      <c r="B121" s="23"/>
      <c r="C121" s="27">
        <f>ROUND(9.865,5)</f>
        <v>9.865</v>
      </c>
      <c r="D121" s="27">
        <f>F121</f>
        <v>9.96452</v>
      </c>
      <c r="E121" s="27">
        <f>F121</f>
        <v>9.96452</v>
      </c>
      <c r="F121" s="27">
        <f>ROUND(9.96452,5)</f>
        <v>9.96452</v>
      </c>
      <c r="G121" s="24"/>
      <c r="H121" s="25"/>
    </row>
    <row r="122" spans="1:8" ht="12.75" customHeight="1">
      <c r="A122" s="23">
        <v>43314</v>
      </c>
      <c r="B122" s="23"/>
      <c r="C122" s="27">
        <f>ROUND(9.865,5)</f>
        <v>9.865</v>
      </c>
      <c r="D122" s="27">
        <f>F122</f>
        <v>10.03161</v>
      </c>
      <c r="E122" s="27">
        <f>F122</f>
        <v>10.03161</v>
      </c>
      <c r="F122" s="27">
        <f>ROUND(10.03161,5)</f>
        <v>10.03161</v>
      </c>
      <c r="G122" s="24"/>
      <c r="H122" s="25"/>
    </row>
    <row r="123" spans="1:8" ht="12.75" customHeight="1">
      <c r="A123" s="23">
        <v>43405</v>
      </c>
      <c r="B123" s="23"/>
      <c r="C123" s="27">
        <f>ROUND(9.865,5)</f>
        <v>9.865</v>
      </c>
      <c r="D123" s="27">
        <f>F123</f>
        <v>10.09021</v>
      </c>
      <c r="E123" s="27">
        <f>F123</f>
        <v>10.09021</v>
      </c>
      <c r="F123" s="27">
        <f>ROUND(10.09021,5)</f>
        <v>10.09021</v>
      </c>
      <c r="G123" s="24"/>
      <c r="H123" s="25"/>
    </row>
    <row r="124" spans="1:8" ht="12.75" customHeight="1">
      <c r="A124" s="23">
        <v>43503</v>
      </c>
      <c r="B124" s="23"/>
      <c r="C124" s="27">
        <f>ROUND(9.865,5)</f>
        <v>9.865</v>
      </c>
      <c r="D124" s="27">
        <f>F124</f>
        <v>10.1635</v>
      </c>
      <c r="E124" s="27">
        <f>F124</f>
        <v>10.1635</v>
      </c>
      <c r="F124" s="27">
        <f>ROUND(10.1635,5)</f>
        <v>10.1635</v>
      </c>
      <c r="G124" s="24"/>
      <c r="H124" s="25"/>
    </row>
    <row r="125" spans="1:8" ht="12.75" customHeight="1">
      <c r="A125" s="23" t="s">
        <v>40</v>
      </c>
      <c r="B125" s="23"/>
      <c r="C125" s="28"/>
      <c r="D125" s="28"/>
      <c r="E125" s="28"/>
      <c r="F125" s="28"/>
      <c r="G125" s="24"/>
      <c r="H125" s="25"/>
    </row>
    <row r="126" spans="1:8" ht="12.75" customHeight="1">
      <c r="A126" s="23">
        <v>43132</v>
      </c>
      <c r="B126" s="23"/>
      <c r="C126" s="27">
        <f>ROUND(9.91,5)</f>
        <v>9.91</v>
      </c>
      <c r="D126" s="27">
        <f>F126</f>
        <v>9.94285</v>
      </c>
      <c r="E126" s="27">
        <f>F126</f>
        <v>9.94285</v>
      </c>
      <c r="F126" s="27">
        <f>ROUND(9.94285,5)</f>
        <v>9.94285</v>
      </c>
      <c r="G126" s="24"/>
      <c r="H126" s="25"/>
    </row>
    <row r="127" spans="1:8" ht="12.75" customHeight="1">
      <c r="A127" s="23">
        <v>43223</v>
      </c>
      <c r="B127" s="23"/>
      <c r="C127" s="27">
        <f>ROUND(9.91,5)</f>
        <v>9.91</v>
      </c>
      <c r="D127" s="27">
        <f>F127</f>
        <v>10.00721</v>
      </c>
      <c r="E127" s="27">
        <f>F127</f>
        <v>10.00721</v>
      </c>
      <c r="F127" s="27">
        <f>ROUND(10.00721,5)</f>
        <v>10.00721</v>
      </c>
      <c r="G127" s="24"/>
      <c r="H127" s="25"/>
    </row>
    <row r="128" spans="1:8" ht="12.75" customHeight="1">
      <c r="A128" s="23">
        <v>43314</v>
      </c>
      <c r="B128" s="23"/>
      <c r="C128" s="27">
        <f>ROUND(9.91,5)</f>
        <v>9.91</v>
      </c>
      <c r="D128" s="27">
        <f>F128</f>
        <v>10.07265</v>
      </c>
      <c r="E128" s="27">
        <f>F128</f>
        <v>10.07265</v>
      </c>
      <c r="F128" s="27">
        <f>ROUND(10.07265,5)</f>
        <v>10.07265</v>
      </c>
      <c r="G128" s="24"/>
      <c r="H128" s="25"/>
    </row>
    <row r="129" spans="1:8" ht="12.75" customHeight="1">
      <c r="A129" s="23">
        <v>43405</v>
      </c>
      <c r="B129" s="23"/>
      <c r="C129" s="27">
        <f>ROUND(9.91,5)</f>
        <v>9.91</v>
      </c>
      <c r="D129" s="27">
        <f>F129</f>
        <v>10.12982</v>
      </c>
      <c r="E129" s="27">
        <f>F129</f>
        <v>10.12982</v>
      </c>
      <c r="F129" s="27">
        <f>ROUND(10.12982,5)</f>
        <v>10.12982</v>
      </c>
      <c r="G129" s="24"/>
      <c r="H129" s="25"/>
    </row>
    <row r="130" spans="1:8" ht="12.75" customHeight="1">
      <c r="A130" s="23">
        <v>43503</v>
      </c>
      <c r="B130" s="23"/>
      <c r="C130" s="27">
        <f>ROUND(9.91,5)</f>
        <v>9.91</v>
      </c>
      <c r="D130" s="27">
        <f>F130</f>
        <v>10.20108</v>
      </c>
      <c r="E130" s="27">
        <f>F130</f>
        <v>10.20108</v>
      </c>
      <c r="F130" s="27">
        <f>ROUND(10.20108,5)</f>
        <v>10.20108</v>
      </c>
      <c r="G130" s="24"/>
      <c r="H130" s="25"/>
    </row>
    <row r="131" spans="1:8" ht="12.75" customHeight="1">
      <c r="A131" s="23" t="s">
        <v>41</v>
      </c>
      <c r="B131" s="23"/>
      <c r="C131" s="28"/>
      <c r="D131" s="28"/>
      <c r="E131" s="28"/>
      <c r="F131" s="28"/>
      <c r="G131" s="24"/>
      <c r="H131" s="25"/>
    </row>
    <row r="132" spans="1:8" ht="12.75" customHeight="1">
      <c r="A132" s="23">
        <v>43132</v>
      </c>
      <c r="B132" s="23"/>
      <c r="C132" s="27">
        <f>ROUND(118.94408,5)</f>
        <v>118.94408</v>
      </c>
      <c r="D132" s="27">
        <f>F132</f>
        <v>120.07271</v>
      </c>
      <c r="E132" s="27">
        <f>F132</f>
        <v>120.07271</v>
      </c>
      <c r="F132" s="27">
        <f>ROUND(120.07271,5)</f>
        <v>120.07271</v>
      </c>
      <c r="G132" s="24"/>
      <c r="H132" s="25"/>
    </row>
    <row r="133" spans="1:8" ht="12.75" customHeight="1">
      <c r="A133" s="23">
        <v>43223</v>
      </c>
      <c r="B133" s="23"/>
      <c r="C133" s="27">
        <f>ROUND(118.94408,5)</f>
        <v>118.94408</v>
      </c>
      <c r="D133" s="27">
        <f>F133</f>
        <v>120.72378</v>
      </c>
      <c r="E133" s="27">
        <f>F133</f>
        <v>120.72378</v>
      </c>
      <c r="F133" s="27">
        <f>ROUND(120.72378,5)</f>
        <v>120.72378</v>
      </c>
      <c r="G133" s="24"/>
      <c r="H133" s="25"/>
    </row>
    <row r="134" spans="1:8" ht="12.75" customHeight="1">
      <c r="A134" s="23">
        <v>43314</v>
      </c>
      <c r="B134" s="23"/>
      <c r="C134" s="27">
        <f>ROUND(118.94408,5)</f>
        <v>118.94408</v>
      </c>
      <c r="D134" s="27">
        <f>F134</f>
        <v>123.02378</v>
      </c>
      <c r="E134" s="27">
        <f>F134</f>
        <v>123.02378</v>
      </c>
      <c r="F134" s="27">
        <f>ROUND(123.02378,5)</f>
        <v>123.02378</v>
      </c>
      <c r="G134" s="24"/>
      <c r="H134" s="25"/>
    </row>
    <row r="135" spans="1:8" ht="12.75" customHeight="1">
      <c r="A135" s="23">
        <v>43405</v>
      </c>
      <c r="B135" s="23"/>
      <c r="C135" s="27">
        <f>ROUND(118.94408,5)</f>
        <v>118.94408</v>
      </c>
      <c r="D135" s="27">
        <f>F135</f>
        <v>125.44695</v>
      </c>
      <c r="E135" s="27">
        <f>F135</f>
        <v>125.44695</v>
      </c>
      <c r="F135" s="27">
        <f>ROUND(125.44695,5)</f>
        <v>125.44695</v>
      </c>
      <c r="G135" s="24"/>
      <c r="H135" s="25"/>
    </row>
    <row r="136" spans="1:8" ht="12.75" customHeight="1">
      <c r="A136" s="23">
        <v>43503</v>
      </c>
      <c r="B136" s="23"/>
      <c r="C136" s="27">
        <f>ROUND(118.94408,5)</f>
        <v>118.94408</v>
      </c>
      <c r="D136" s="27">
        <f>F136</f>
        <v>127.99167</v>
      </c>
      <c r="E136" s="27">
        <f>F136</f>
        <v>127.99167</v>
      </c>
      <c r="F136" s="27">
        <f>ROUND(127.99167,5)</f>
        <v>127.99167</v>
      </c>
      <c r="G136" s="24"/>
      <c r="H136" s="25"/>
    </row>
    <row r="137" spans="1:8" ht="12.75" customHeight="1">
      <c r="A137" s="23" t="s">
        <v>42</v>
      </c>
      <c r="B137" s="23"/>
      <c r="C137" s="28"/>
      <c r="D137" s="28"/>
      <c r="E137" s="28"/>
      <c r="F137" s="28"/>
      <c r="G137" s="24"/>
      <c r="H137" s="25"/>
    </row>
    <row r="138" spans="1:8" ht="12.75" customHeight="1">
      <c r="A138" s="23">
        <v>43132</v>
      </c>
      <c r="B138" s="23"/>
      <c r="C138" s="27">
        <f>ROUND(2.85,5)</f>
        <v>2.85</v>
      </c>
      <c r="D138" s="27">
        <f>F138</f>
        <v>124.49781</v>
      </c>
      <c r="E138" s="27">
        <f>F138</f>
        <v>124.49781</v>
      </c>
      <c r="F138" s="27">
        <f>ROUND(124.49781,5)</f>
        <v>124.49781</v>
      </c>
      <c r="G138" s="24"/>
      <c r="H138" s="25"/>
    </row>
    <row r="139" spans="1:8" ht="12.75" customHeight="1">
      <c r="A139" s="23">
        <v>43223</v>
      </c>
      <c r="B139" s="23"/>
      <c r="C139" s="27">
        <f>ROUND(2.85,5)</f>
        <v>2.85</v>
      </c>
      <c r="D139" s="27">
        <f>F139</f>
        <v>126.8317</v>
      </c>
      <c r="E139" s="27">
        <f>F139</f>
        <v>126.8317</v>
      </c>
      <c r="F139" s="27">
        <f>ROUND(126.8317,5)</f>
        <v>126.8317</v>
      </c>
      <c r="G139" s="24"/>
      <c r="H139" s="25"/>
    </row>
    <row r="140" spans="1:8" ht="12.75" customHeight="1">
      <c r="A140" s="23">
        <v>43314</v>
      </c>
      <c r="B140" s="23"/>
      <c r="C140" s="27">
        <f>ROUND(2.85,5)</f>
        <v>2.85</v>
      </c>
      <c r="D140" s="27">
        <f>F140</f>
        <v>127.51464</v>
      </c>
      <c r="E140" s="27">
        <f>F140</f>
        <v>127.51464</v>
      </c>
      <c r="F140" s="27">
        <f>ROUND(127.51464,5)</f>
        <v>127.51464</v>
      </c>
      <c r="G140" s="24"/>
      <c r="H140" s="25"/>
    </row>
    <row r="141" spans="1:8" ht="12.75" customHeight="1">
      <c r="A141" s="23">
        <v>43405</v>
      </c>
      <c r="B141" s="23"/>
      <c r="C141" s="27">
        <f>ROUND(2.85,5)</f>
        <v>2.85</v>
      </c>
      <c r="D141" s="27">
        <f>F141</f>
        <v>130.02639</v>
      </c>
      <c r="E141" s="27">
        <f>F141</f>
        <v>130.02639</v>
      </c>
      <c r="F141" s="27">
        <f>ROUND(130.02639,5)</f>
        <v>130.02639</v>
      </c>
      <c r="G141" s="24"/>
      <c r="H141" s="25"/>
    </row>
    <row r="142" spans="1:8" ht="12.75" customHeight="1">
      <c r="A142" s="23">
        <v>43503</v>
      </c>
      <c r="B142" s="23"/>
      <c r="C142" s="27">
        <f>ROUND(2.85,5)</f>
        <v>2.85</v>
      </c>
      <c r="D142" s="27">
        <f>F142</f>
        <v>132.66355</v>
      </c>
      <c r="E142" s="27">
        <f>F142</f>
        <v>132.66355</v>
      </c>
      <c r="F142" s="27">
        <f>ROUND(132.66355,5)</f>
        <v>132.66355</v>
      </c>
      <c r="G142" s="24"/>
      <c r="H142" s="25"/>
    </row>
    <row r="143" spans="1:8" ht="12.75" customHeight="1">
      <c r="A143" s="23" t="s">
        <v>43</v>
      </c>
      <c r="B143" s="23"/>
      <c r="C143" s="28"/>
      <c r="D143" s="28"/>
      <c r="E143" s="28"/>
      <c r="F143" s="28"/>
      <c r="G143" s="24"/>
      <c r="H143" s="25"/>
    </row>
    <row r="144" spans="1:8" ht="12.75" customHeight="1">
      <c r="A144" s="23">
        <v>43132</v>
      </c>
      <c r="B144" s="23"/>
      <c r="C144" s="27">
        <f>ROUND(3.39,5)</f>
        <v>3.39</v>
      </c>
      <c r="D144" s="27">
        <f>F144</f>
        <v>127.49761</v>
      </c>
      <c r="E144" s="27">
        <f>F144</f>
        <v>127.49761</v>
      </c>
      <c r="F144" s="27">
        <f>ROUND(127.49761,5)</f>
        <v>127.49761</v>
      </c>
      <c r="G144" s="24"/>
      <c r="H144" s="25"/>
    </row>
    <row r="145" spans="1:8" ht="12.75" customHeight="1">
      <c r="A145" s="23">
        <v>43223</v>
      </c>
      <c r="B145" s="23"/>
      <c r="C145" s="27">
        <f>ROUND(3.39,5)</f>
        <v>3.39</v>
      </c>
      <c r="D145" s="27">
        <f>F145</f>
        <v>128.1281</v>
      </c>
      <c r="E145" s="27">
        <f>F145</f>
        <v>128.1281</v>
      </c>
      <c r="F145" s="27">
        <f>ROUND(128.1281,5)</f>
        <v>128.1281</v>
      </c>
      <c r="G145" s="24"/>
      <c r="H145" s="25"/>
    </row>
    <row r="146" spans="1:8" ht="12.75" customHeight="1">
      <c r="A146" s="23">
        <v>43314</v>
      </c>
      <c r="B146" s="23"/>
      <c r="C146" s="27">
        <f>ROUND(3.39,5)</f>
        <v>3.39</v>
      </c>
      <c r="D146" s="27">
        <f>F146</f>
        <v>130.56908</v>
      </c>
      <c r="E146" s="27">
        <f>F146</f>
        <v>130.56908</v>
      </c>
      <c r="F146" s="27">
        <f>ROUND(130.56908,5)</f>
        <v>130.56908</v>
      </c>
      <c r="G146" s="24"/>
      <c r="H146" s="25"/>
    </row>
    <row r="147" spans="1:8" ht="12.75" customHeight="1">
      <c r="A147" s="23">
        <v>43405</v>
      </c>
      <c r="B147" s="23"/>
      <c r="C147" s="27">
        <f>ROUND(3.39,5)</f>
        <v>3.39</v>
      </c>
      <c r="D147" s="27">
        <f>F147</f>
        <v>133.14091</v>
      </c>
      <c r="E147" s="27">
        <f>F147</f>
        <v>133.14091</v>
      </c>
      <c r="F147" s="27">
        <f>ROUND(133.14091,5)</f>
        <v>133.14091</v>
      </c>
      <c r="G147" s="24"/>
      <c r="H147" s="25"/>
    </row>
    <row r="148" spans="1:8" ht="12.75" customHeight="1">
      <c r="A148" s="23">
        <v>43503</v>
      </c>
      <c r="B148" s="23"/>
      <c r="C148" s="27">
        <f>ROUND(3.39,5)</f>
        <v>3.39</v>
      </c>
      <c r="D148" s="27">
        <f>F148</f>
        <v>135.84153</v>
      </c>
      <c r="E148" s="27">
        <f>F148</f>
        <v>135.84153</v>
      </c>
      <c r="F148" s="27">
        <f>ROUND(135.84153,5)</f>
        <v>135.84153</v>
      </c>
      <c r="G148" s="24"/>
      <c r="H148" s="25"/>
    </row>
    <row r="149" spans="1:8" ht="12.75" customHeight="1">
      <c r="A149" s="23" t="s">
        <v>44</v>
      </c>
      <c r="B149" s="23"/>
      <c r="C149" s="28"/>
      <c r="D149" s="28"/>
      <c r="E149" s="28"/>
      <c r="F149" s="28"/>
      <c r="G149" s="24"/>
      <c r="H149" s="25"/>
    </row>
    <row r="150" spans="1:8" ht="12.75" customHeight="1">
      <c r="A150" s="23">
        <v>43132</v>
      </c>
      <c r="B150" s="23"/>
      <c r="C150" s="27">
        <f>ROUND(10.88,5)</f>
        <v>10.88</v>
      </c>
      <c r="D150" s="27">
        <f>F150</f>
        <v>10.93636</v>
      </c>
      <c r="E150" s="27">
        <f>F150</f>
        <v>10.93636</v>
      </c>
      <c r="F150" s="27">
        <f>ROUND(10.93636,5)</f>
        <v>10.93636</v>
      </c>
      <c r="G150" s="24"/>
      <c r="H150" s="25"/>
    </row>
    <row r="151" spans="1:8" ht="12.75" customHeight="1">
      <c r="A151" s="23">
        <v>43223</v>
      </c>
      <c r="B151" s="23"/>
      <c r="C151" s="27">
        <f>ROUND(10.88,5)</f>
        <v>10.88</v>
      </c>
      <c r="D151" s="27">
        <f>F151</f>
        <v>11.04079</v>
      </c>
      <c r="E151" s="27">
        <f>F151</f>
        <v>11.04079</v>
      </c>
      <c r="F151" s="27">
        <f>ROUND(11.04079,5)</f>
        <v>11.04079</v>
      </c>
      <c r="G151" s="24"/>
      <c r="H151" s="25"/>
    </row>
    <row r="152" spans="1:8" ht="12.75" customHeight="1">
      <c r="A152" s="23">
        <v>43314</v>
      </c>
      <c r="B152" s="23"/>
      <c r="C152" s="27">
        <f>ROUND(10.88,5)</f>
        <v>10.88</v>
      </c>
      <c r="D152" s="27">
        <f>F152</f>
        <v>11.14506</v>
      </c>
      <c r="E152" s="27">
        <f>F152</f>
        <v>11.14506</v>
      </c>
      <c r="F152" s="27">
        <f>ROUND(11.14506,5)</f>
        <v>11.14506</v>
      </c>
      <c r="G152" s="24"/>
      <c r="H152" s="25"/>
    </row>
    <row r="153" spans="1:8" ht="12.75" customHeight="1">
      <c r="A153" s="23">
        <v>43405</v>
      </c>
      <c r="B153" s="23"/>
      <c r="C153" s="27">
        <f>ROUND(10.88,5)</f>
        <v>10.88</v>
      </c>
      <c r="D153" s="27">
        <f>F153</f>
        <v>11.25077</v>
      </c>
      <c r="E153" s="27">
        <f>F153</f>
        <v>11.25077</v>
      </c>
      <c r="F153" s="27">
        <f>ROUND(11.25077,5)</f>
        <v>11.25077</v>
      </c>
      <c r="G153" s="24"/>
      <c r="H153" s="25"/>
    </row>
    <row r="154" spans="1:8" ht="12.75" customHeight="1">
      <c r="A154" s="23">
        <v>43503</v>
      </c>
      <c r="B154" s="23"/>
      <c r="C154" s="27">
        <f>ROUND(10.88,5)</f>
        <v>10.88</v>
      </c>
      <c r="D154" s="27">
        <f>F154</f>
        <v>11.38004</v>
      </c>
      <c r="E154" s="27">
        <f>F154</f>
        <v>11.38004</v>
      </c>
      <c r="F154" s="27">
        <f>ROUND(11.38004,5)</f>
        <v>11.38004</v>
      </c>
      <c r="G154" s="24"/>
      <c r="H154" s="25"/>
    </row>
    <row r="155" spans="1:8" ht="12.75" customHeight="1">
      <c r="A155" s="23" t="s">
        <v>45</v>
      </c>
      <c r="B155" s="23"/>
      <c r="C155" s="28"/>
      <c r="D155" s="28"/>
      <c r="E155" s="28"/>
      <c r="F155" s="28"/>
      <c r="G155" s="24"/>
      <c r="H155" s="25"/>
    </row>
    <row r="156" spans="1:8" ht="12.75" customHeight="1">
      <c r="A156" s="23">
        <v>43132</v>
      </c>
      <c r="B156" s="23"/>
      <c r="C156" s="27">
        <f>ROUND(11.12,5)</f>
        <v>11.12</v>
      </c>
      <c r="D156" s="27">
        <f>F156</f>
        <v>11.17435</v>
      </c>
      <c r="E156" s="27">
        <f>F156</f>
        <v>11.17435</v>
      </c>
      <c r="F156" s="27">
        <f>ROUND(11.17435,5)</f>
        <v>11.17435</v>
      </c>
      <c r="G156" s="24"/>
      <c r="H156" s="25"/>
    </row>
    <row r="157" spans="1:8" ht="12.75" customHeight="1">
      <c r="A157" s="23">
        <v>43223</v>
      </c>
      <c r="B157" s="23"/>
      <c r="C157" s="27">
        <f>ROUND(11.12,5)</f>
        <v>11.12</v>
      </c>
      <c r="D157" s="27">
        <f>F157</f>
        <v>11.28029</v>
      </c>
      <c r="E157" s="27">
        <f>F157</f>
        <v>11.28029</v>
      </c>
      <c r="F157" s="27">
        <f>ROUND(11.28029,5)</f>
        <v>11.28029</v>
      </c>
      <c r="G157" s="24"/>
      <c r="H157" s="25"/>
    </row>
    <row r="158" spans="1:8" ht="12.75" customHeight="1">
      <c r="A158" s="23">
        <v>43314</v>
      </c>
      <c r="B158" s="23"/>
      <c r="C158" s="27">
        <f>ROUND(11.12,5)</f>
        <v>11.12</v>
      </c>
      <c r="D158" s="27">
        <f>F158</f>
        <v>11.38423</v>
      </c>
      <c r="E158" s="27">
        <f>F158</f>
        <v>11.38423</v>
      </c>
      <c r="F158" s="27">
        <f>ROUND(11.38423,5)</f>
        <v>11.38423</v>
      </c>
      <c r="G158" s="24"/>
      <c r="H158" s="25"/>
    </row>
    <row r="159" spans="1:8" ht="12.75" customHeight="1">
      <c r="A159" s="23">
        <v>43405</v>
      </c>
      <c r="B159" s="23"/>
      <c r="C159" s="27">
        <f>ROUND(11.12,5)</f>
        <v>11.12</v>
      </c>
      <c r="D159" s="27">
        <f>F159</f>
        <v>11.48896</v>
      </c>
      <c r="E159" s="27">
        <f>F159</f>
        <v>11.48896</v>
      </c>
      <c r="F159" s="27">
        <f>ROUND(11.48896,5)</f>
        <v>11.48896</v>
      </c>
      <c r="G159" s="24"/>
      <c r="H159" s="25"/>
    </row>
    <row r="160" spans="1:8" ht="12.75" customHeight="1">
      <c r="A160" s="23">
        <v>43503</v>
      </c>
      <c r="B160" s="23"/>
      <c r="C160" s="27">
        <f>ROUND(11.12,5)</f>
        <v>11.12</v>
      </c>
      <c r="D160" s="27">
        <f>F160</f>
        <v>11.61221</v>
      </c>
      <c r="E160" s="27">
        <f>F160</f>
        <v>11.61221</v>
      </c>
      <c r="F160" s="27">
        <f>ROUND(11.61221,5)</f>
        <v>11.61221</v>
      </c>
      <c r="G160" s="24"/>
      <c r="H160" s="25"/>
    </row>
    <row r="161" spans="1:8" ht="12.75" customHeight="1">
      <c r="A161" s="23" t="s">
        <v>46</v>
      </c>
      <c r="B161" s="23"/>
      <c r="C161" s="28"/>
      <c r="D161" s="28"/>
      <c r="E161" s="28"/>
      <c r="F161" s="28"/>
      <c r="G161" s="24"/>
      <c r="H161" s="25"/>
    </row>
    <row r="162" spans="1:8" ht="12.75" customHeight="1">
      <c r="A162" s="23">
        <v>43132</v>
      </c>
      <c r="B162" s="23"/>
      <c r="C162" s="27">
        <f>ROUND(8.335,5)</f>
        <v>8.335</v>
      </c>
      <c r="D162" s="27">
        <f>F162</f>
        <v>8.365</v>
      </c>
      <c r="E162" s="27">
        <f>F162</f>
        <v>8.365</v>
      </c>
      <c r="F162" s="27">
        <f>ROUND(8.365,5)</f>
        <v>8.365</v>
      </c>
      <c r="G162" s="24"/>
      <c r="H162" s="25"/>
    </row>
    <row r="163" spans="1:8" ht="12.75" customHeight="1">
      <c r="A163" s="23">
        <v>43223</v>
      </c>
      <c r="B163" s="23"/>
      <c r="C163" s="27">
        <f>ROUND(8.335,5)</f>
        <v>8.335</v>
      </c>
      <c r="D163" s="27">
        <f>F163</f>
        <v>8.41295</v>
      </c>
      <c r="E163" s="27">
        <f>F163</f>
        <v>8.41295</v>
      </c>
      <c r="F163" s="27">
        <f>ROUND(8.41295,5)</f>
        <v>8.41295</v>
      </c>
      <c r="G163" s="24"/>
      <c r="H163" s="25"/>
    </row>
    <row r="164" spans="1:8" ht="12.75" customHeight="1">
      <c r="A164" s="23">
        <v>43314</v>
      </c>
      <c r="B164" s="23"/>
      <c r="C164" s="27">
        <f>ROUND(8.335,5)</f>
        <v>8.335</v>
      </c>
      <c r="D164" s="27">
        <f>F164</f>
        <v>8.45918</v>
      </c>
      <c r="E164" s="27">
        <f>F164</f>
        <v>8.45918</v>
      </c>
      <c r="F164" s="27">
        <f>ROUND(8.45918,5)</f>
        <v>8.45918</v>
      </c>
      <c r="G164" s="24"/>
      <c r="H164" s="25"/>
    </row>
    <row r="165" spans="1:8" ht="12.75" customHeight="1">
      <c r="A165" s="23">
        <v>43405</v>
      </c>
      <c r="B165" s="23"/>
      <c r="C165" s="27">
        <f>ROUND(8.335,5)</f>
        <v>8.335</v>
      </c>
      <c r="D165" s="27">
        <f>F165</f>
        <v>8.50485</v>
      </c>
      <c r="E165" s="27">
        <f>F165</f>
        <v>8.50485</v>
      </c>
      <c r="F165" s="27">
        <f>ROUND(8.50485,5)</f>
        <v>8.50485</v>
      </c>
      <c r="G165" s="24"/>
      <c r="H165" s="25"/>
    </row>
    <row r="166" spans="1:8" ht="12.75" customHeight="1">
      <c r="A166" s="23">
        <v>43503</v>
      </c>
      <c r="B166" s="23"/>
      <c r="C166" s="27">
        <f>ROUND(8.335,5)</f>
        <v>8.335</v>
      </c>
      <c r="D166" s="27">
        <f>F166</f>
        <v>8.57934</v>
      </c>
      <c r="E166" s="27">
        <f>F166</f>
        <v>8.57934</v>
      </c>
      <c r="F166" s="27">
        <f>ROUND(8.57934,5)</f>
        <v>8.57934</v>
      </c>
      <c r="G166" s="24"/>
      <c r="H166" s="25"/>
    </row>
    <row r="167" spans="1:8" ht="12.75" customHeight="1">
      <c r="A167" s="23" t="s">
        <v>47</v>
      </c>
      <c r="B167" s="23"/>
      <c r="C167" s="28"/>
      <c r="D167" s="28"/>
      <c r="E167" s="28"/>
      <c r="F167" s="28"/>
      <c r="G167" s="24"/>
      <c r="H167" s="25"/>
    </row>
    <row r="168" spans="1:8" ht="12.75" customHeight="1">
      <c r="A168" s="23">
        <v>43132</v>
      </c>
      <c r="B168" s="23"/>
      <c r="C168" s="27">
        <f>ROUND(9.705,5)</f>
        <v>9.705</v>
      </c>
      <c r="D168" s="27">
        <f>F168</f>
        <v>9.74085</v>
      </c>
      <c r="E168" s="27">
        <f>F168</f>
        <v>9.74085</v>
      </c>
      <c r="F168" s="27">
        <f>ROUND(9.74085,5)</f>
        <v>9.74085</v>
      </c>
      <c r="G168" s="24"/>
      <c r="H168" s="25"/>
    </row>
    <row r="169" spans="1:8" ht="12.75" customHeight="1">
      <c r="A169" s="23">
        <v>43223</v>
      </c>
      <c r="B169" s="23"/>
      <c r="C169" s="27">
        <f>ROUND(9.705,5)</f>
        <v>9.705</v>
      </c>
      <c r="D169" s="27">
        <f>F169</f>
        <v>9.80398</v>
      </c>
      <c r="E169" s="27">
        <f>F169</f>
        <v>9.80398</v>
      </c>
      <c r="F169" s="27">
        <f>ROUND(9.80398,5)</f>
        <v>9.80398</v>
      </c>
      <c r="G169" s="24"/>
      <c r="H169" s="25"/>
    </row>
    <row r="170" spans="1:8" ht="12.75" customHeight="1">
      <c r="A170" s="23">
        <v>43314</v>
      </c>
      <c r="B170" s="23"/>
      <c r="C170" s="27">
        <f>ROUND(9.705,5)</f>
        <v>9.705</v>
      </c>
      <c r="D170" s="27">
        <f>F170</f>
        <v>9.86666</v>
      </c>
      <c r="E170" s="27">
        <f>F170</f>
        <v>9.86666</v>
      </c>
      <c r="F170" s="27">
        <f>ROUND(9.86666,5)</f>
        <v>9.86666</v>
      </c>
      <c r="G170" s="24"/>
      <c r="H170" s="25"/>
    </row>
    <row r="171" spans="1:8" ht="12.75" customHeight="1">
      <c r="A171" s="23">
        <v>43405</v>
      </c>
      <c r="B171" s="23"/>
      <c r="C171" s="27">
        <f>ROUND(9.705,5)</f>
        <v>9.705</v>
      </c>
      <c r="D171" s="27">
        <f>F171</f>
        <v>9.92915</v>
      </c>
      <c r="E171" s="27">
        <f>F171</f>
        <v>9.92915</v>
      </c>
      <c r="F171" s="27">
        <f>ROUND(9.92915,5)</f>
        <v>9.92915</v>
      </c>
      <c r="G171" s="24"/>
      <c r="H171" s="25"/>
    </row>
    <row r="172" spans="1:8" ht="12.75" customHeight="1">
      <c r="A172" s="23">
        <v>43503</v>
      </c>
      <c r="B172" s="23"/>
      <c r="C172" s="27">
        <f>ROUND(9.705,5)</f>
        <v>9.705</v>
      </c>
      <c r="D172" s="27">
        <f>F172</f>
        <v>10.0081</v>
      </c>
      <c r="E172" s="27">
        <f>F172</f>
        <v>10.0081</v>
      </c>
      <c r="F172" s="27">
        <f>ROUND(10.0081,5)</f>
        <v>10.0081</v>
      </c>
      <c r="G172" s="24"/>
      <c r="H172" s="25"/>
    </row>
    <row r="173" spans="1:8" ht="12.75" customHeight="1">
      <c r="A173" s="23" t="s">
        <v>48</v>
      </c>
      <c r="B173" s="23"/>
      <c r="C173" s="28"/>
      <c r="D173" s="28"/>
      <c r="E173" s="28"/>
      <c r="F173" s="28"/>
      <c r="G173" s="24"/>
      <c r="H173" s="25"/>
    </row>
    <row r="174" spans="1:8" ht="12.75" customHeight="1">
      <c r="A174" s="23">
        <v>43132</v>
      </c>
      <c r="B174" s="23"/>
      <c r="C174" s="27">
        <f>ROUND(8.95,5)</f>
        <v>8.95</v>
      </c>
      <c r="D174" s="27">
        <f>F174</f>
        <v>8.9827</v>
      </c>
      <c r="E174" s="27">
        <f>F174</f>
        <v>8.9827</v>
      </c>
      <c r="F174" s="27">
        <f>ROUND(8.9827,5)</f>
        <v>8.9827</v>
      </c>
      <c r="G174" s="24"/>
      <c r="H174" s="25"/>
    </row>
    <row r="175" spans="1:8" ht="12.75" customHeight="1">
      <c r="A175" s="23">
        <v>43223</v>
      </c>
      <c r="B175" s="23"/>
      <c r="C175" s="27">
        <f>ROUND(8.95,5)</f>
        <v>8.95</v>
      </c>
      <c r="D175" s="27">
        <f>F175</f>
        <v>9.04514</v>
      </c>
      <c r="E175" s="27">
        <f>F175</f>
        <v>9.04514</v>
      </c>
      <c r="F175" s="27">
        <f>ROUND(9.04514,5)</f>
        <v>9.04514</v>
      </c>
      <c r="G175" s="24"/>
      <c r="H175" s="25"/>
    </row>
    <row r="176" spans="1:8" ht="12.75" customHeight="1">
      <c r="A176" s="23">
        <v>43314</v>
      </c>
      <c r="B176" s="23"/>
      <c r="C176" s="27">
        <f>ROUND(8.95,5)</f>
        <v>8.95</v>
      </c>
      <c r="D176" s="27">
        <f>F176</f>
        <v>9.10704</v>
      </c>
      <c r="E176" s="27">
        <f>F176</f>
        <v>9.10704</v>
      </c>
      <c r="F176" s="27">
        <f>ROUND(9.10704,5)</f>
        <v>9.10704</v>
      </c>
      <c r="G176" s="24"/>
      <c r="H176" s="25"/>
    </row>
    <row r="177" spans="1:8" ht="12.75" customHeight="1">
      <c r="A177" s="23">
        <v>43405</v>
      </c>
      <c r="B177" s="23"/>
      <c r="C177" s="27">
        <f>ROUND(8.95,5)</f>
        <v>8.95</v>
      </c>
      <c r="D177" s="27">
        <f>F177</f>
        <v>9.1636</v>
      </c>
      <c r="E177" s="27">
        <f>F177</f>
        <v>9.1636</v>
      </c>
      <c r="F177" s="27">
        <f>ROUND(9.1636,5)</f>
        <v>9.1636</v>
      </c>
      <c r="G177" s="24"/>
      <c r="H177" s="25"/>
    </row>
    <row r="178" spans="1:8" ht="12.75" customHeight="1">
      <c r="A178" s="23">
        <v>43503</v>
      </c>
      <c r="B178" s="23"/>
      <c r="C178" s="27">
        <f>ROUND(8.95,5)</f>
        <v>8.95</v>
      </c>
      <c r="D178" s="27">
        <f>F178</f>
        <v>9.24005</v>
      </c>
      <c r="E178" s="27">
        <f>F178</f>
        <v>9.24005</v>
      </c>
      <c r="F178" s="27">
        <f>ROUND(9.24005,5)</f>
        <v>9.24005</v>
      </c>
      <c r="G178" s="24"/>
      <c r="H178" s="25"/>
    </row>
    <row r="179" spans="1:8" ht="12.75" customHeight="1">
      <c r="A179" s="23" t="s">
        <v>49</v>
      </c>
      <c r="B179" s="23"/>
      <c r="C179" s="28"/>
      <c r="D179" s="28"/>
      <c r="E179" s="28"/>
      <c r="F179" s="28"/>
      <c r="G179" s="24"/>
      <c r="H179" s="25"/>
    </row>
    <row r="180" spans="1:8" ht="12.75" customHeight="1">
      <c r="A180" s="23">
        <v>43132</v>
      </c>
      <c r="B180" s="23"/>
      <c r="C180" s="27">
        <f>ROUND(2.57,5)</f>
        <v>2.57</v>
      </c>
      <c r="D180" s="27">
        <f>F180</f>
        <v>295.50523</v>
      </c>
      <c r="E180" s="27">
        <f>F180</f>
        <v>295.50523</v>
      </c>
      <c r="F180" s="27">
        <f>ROUND(295.50523,5)</f>
        <v>295.50523</v>
      </c>
      <c r="G180" s="24"/>
      <c r="H180" s="25"/>
    </row>
    <row r="181" spans="1:8" ht="12.75" customHeight="1">
      <c r="A181" s="23">
        <v>43223</v>
      </c>
      <c r="B181" s="23"/>
      <c r="C181" s="27">
        <f>ROUND(2.57,5)</f>
        <v>2.57</v>
      </c>
      <c r="D181" s="27">
        <f>F181</f>
        <v>301.0449</v>
      </c>
      <c r="E181" s="27">
        <f>F181</f>
        <v>301.0449</v>
      </c>
      <c r="F181" s="27">
        <f>ROUND(301.0449,5)</f>
        <v>301.0449</v>
      </c>
      <c r="G181" s="24"/>
      <c r="H181" s="25"/>
    </row>
    <row r="182" spans="1:8" ht="12.75" customHeight="1">
      <c r="A182" s="23">
        <v>43314</v>
      </c>
      <c r="B182" s="23"/>
      <c r="C182" s="27">
        <f>ROUND(2.57,5)</f>
        <v>2.57</v>
      </c>
      <c r="D182" s="27">
        <f>F182</f>
        <v>299.5806</v>
      </c>
      <c r="E182" s="27">
        <f>F182</f>
        <v>299.5806</v>
      </c>
      <c r="F182" s="27">
        <f>ROUND(299.5806,5)</f>
        <v>299.5806</v>
      </c>
      <c r="G182" s="24"/>
      <c r="H182" s="25"/>
    </row>
    <row r="183" spans="1:8" ht="12.75" customHeight="1">
      <c r="A183" s="23">
        <v>43405</v>
      </c>
      <c r="B183" s="23"/>
      <c r="C183" s="27">
        <f>ROUND(2.57,5)</f>
        <v>2.57</v>
      </c>
      <c r="D183" s="27">
        <f>F183</f>
        <v>305.48198</v>
      </c>
      <c r="E183" s="27">
        <f>F183</f>
        <v>305.48198</v>
      </c>
      <c r="F183" s="27">
        <f>ROUND(305.48198,5)</f>
        <v>305.48198</v>
      </c>
      <c r="G183" s="24"/>
      <c r="H183" s="25"/>
    </row>
    <row r="184" spans="1:8" ht="12.75" customHeight="1">
      <c r="A184" s="23">
        <v>43503</v>
      </c>
      <c r="B184" s="23"/>
      <c r="C184" s="27">
        <f>ROUND(2.57,5)</f>
        <v>2.57</v>
      </c>
      <c r="D184" s="27">
        <f>F184</f>
        <v>311.67651</v>
      </c>
      <c r="E184" s="27">
        <f>F184</f>
        <v>311.67651</v>
      </c>
      <c r="F184" s="27">
        <f>ROUND(311.67651,5)</f>
        <v>311.67651</v>
      </c>
      <c r="G184" s="24"/>
      <c r="H184" s="25"/>
    </row>
    <row r="185" spans="1:8" ht="12.75" customHeight="1">
      <c r="A185" s="23" t="s">
        <v>50</v>
      </c>
      <c r="B185" s="23"/>
      <c r="C185" s="28"/>
      <c r="D185" s="28"/>
      <c r="E185" s="28"/>
      <c r="F185" s="28"/>
      <c r="G185" s="24"/>
      <c r="H185" s="25"/>
    </row>
    <row r="186" spans="1:8" ht="12.75" customHeight="1">
      <c r="A186" s="23">
        <v>43132</v>
      </c>
      <c r="B186" s="23"/>
      <c r="C186" s="27">
        <f>ROUND(2.73,5)</f>
        <v>2.73</v>
      </c>
      <c r="D186" s="27">
        <f>F186</f>
        <v>235.3512</v>
      </c>
      <c r="E186" s="27">
        <f>F186</f>
        <v>235.3512</v>
      </c>
      <c r="F186" s="27">
        <f>ROUND(235.3512,5)</f>
        <v>235.3512</v>
      </c>
      <c r="G186" s="24"/>
      <c r="H186" s="25"/>
    </row>
    <row r="187" spans="1:8" ht="12.75" customHeight="1">
      <c r="A187" s="23">
        <v>43223</v>
      </c>
      <c r="B187" s="23"/>
      <c r="C187" s="27">
        <f>ROUND(2.73,5)</f>
        <v>2.73</v>
      </c>
      <c r="D187" s="27">
        <f>F187</f>
        <v>239.76299</v>
      </c>
      <c r="E187" s="27">
        <f>F187</f>
        <v>239.76299</v>
      </c>
      <c r="F187" s="27">
        <f>ROUND(239.76299,5)</f>
        <v>239.76299</v>
      </c>
      <c r="G187" s="24"/>
      <c r="H187" s="25"/>
    </row>
    <row r="188" spans="1:8" ht="12.75" customHeight="1">
      <c r="A188" s="23">
        <v>43314</v>
      </c>
      <c r="B188" s="23"/>
      <c r="C188" s="27">
        <f>ROUND(2.73,5)</f>
        <v>2.73</v>
      </c>
      <c r="D188" s="27">
        <f>F188</f>
        <v>240.50685</v>
      </c>
      <c r="E188" s="27">
        <f>F188</f>
        <v>240.50685</v>
      </c>
      <c r="F188" s="27">
        <f>ROUND(240.50685,5)</f>
        <v>240.50685</v>
      </c>
      <c r="G188" s="24"/>
      <c r="H188" s="25"/>
    </row>
    <row r="189" spans="1:8" ht="12.75" customHeight="1">
      <c r="A189" s="23">
        <v>43405</v>
      </c>
      <c r="B189" s="23"/>
      <c r="C189" s="27">
        <f>ROUND(2.73,5)</f>
        <v>2.73</v>
      </c>
      <c r="D189" s="27">
        <f>F189</f>
        <v>245.24431</v>
      </c>
      <c r="E189" s="27">
        <f>F189</f>
        <v>245.24431</v>
      </c>
      <c r="F189" s="27">
        <f>ROUND(245.24431,5)</f>
        <v>245.24431</v>
      </c>
      <c r="G189" s="24"/>
      <c r="H189" s="25"/>
    </row>
    <row r="190" spans="1:8" ht="12.75" customHeight="1">
      <c r="A190" s="23">
        <v>43503</v>
      </c>
      <c r="B190" s="23"/>
      <c r="C190" s="27">
        <f>ROUND(2.73,5)</f>
        <v>2.73</v>
      </c>
      <c r="D190" s="27">
        <f>F190</f>
        <v>250.21824</v>
      </c>
      <c r="E190" s="27">
        <f>F190</f>
        <v>250.21824</v>
      </c>
      <c r="F190" s="27">
        <f>ROUND(250.21824,5)</f>
        <v>250.21824</v>
      </c>
      <c r="G190" s="24"/>
      <c r="H190" s="25"/>
    </row>
    <row r="191" spans="1:8" ht="12.75" customHeight="1">
      <c r="A191" s="23" t="s">
        <v>51</v>
      </c>
      <c r="B191" s="23"/>
      <c r="C191" s="28"/>
      <c r="D191" s="28"/>
      <c r="E191" s="28"/>
      <c r="F191" s="28"/>
      <c r="G191" s="24"/>
      <c r="H191" s="25"/>
    </row>
    <row r="192" spans="1:8" ht="12.75" customHeight="1">
      <c r="A192" s="23">
        <v>43132</v>
      </c>
      <c r="B192" s="23"/>
      <c r="C192" s="27">
        <f>ROUND(0,5)</f>
        <v>0</v>
      </c>
      <c r="D192" s="27">
        <f>F192</f>
        <v>1.03146</v>
      </c>
      <c r="E192" s="27">
        <f>F192</f>
        <v>1.03146</v>
      </c>
      <c r="F192" s="27">
        <f>ROUND(1.03146,5)</f>
        <v>1.03146</v>
      </c>
      <c r="G192" s="24"/>
      <c r="H192" s="25"/>
    </row>
    <row r="193" spans="1:8" ht="12.75" customHeight="1">
      <c r="A193" s="23" t="s">
        <v>52</v>
      </c>
      <c r="B193" s="23"/>
      <c r="C193" s="28"/>
      <c r="D193" s="28"/>
      <c r="E193" s="28"/>
      <c r="F193" s="28"/>
      <c r="G193" s="24"/>
      <c r="H193" s="25"/>
    </row>
    <row r="194" spans="1:8" ht="12.75" customHeight="1">
      <c r="A194" s="23">
        <v>43132</v>
      </c>
      <c r="B194" s="23"/>
      <c r="C194" s="27">
        <f>ROUND(7.39,5)</f>
        <v>7.39</v>
      </c>
      <c r="D194" s="27">
        <f>F194</f>
        <v>7.38471</v>
      </c>
      <c r="E194" s="27">
        <f>F194</f>
        <v>7.38471</v>
      </c>
      <c r="F194" s="27">
        <f>ROUND(7.38471,5)</f>
        <v>7.38471</v>
      </c>
      <c r="G194" s="24"/>
      <c r="H194" s="25"/>
    </row>
    <row r="195" spans="1:8" ht="12.75" customHeight="1">
      <c r="A195" s="23">
        <v>43223</v>
      </c>
      <c r="B195" s="23"/>
      <c r="C195" s="27">
        <f>ROUND(7.39,5)</f>
        <v>7.39</v>
      </c>
      <c r="D195" s="27">
        <f>F195</f>
        <v>7.31949</v>
      </c>
      <c r="E195" s="27">
        <f>F195</f>
        <v>7.31949</v>
      </c>
      <c r="F195" s="27">
        <f>ROUND(7.31949,5)</f>
        <v>7.31949</v>
      </c>
      <c r="G195" s="24"/>
      <c r="H195" s="25"/>
    </row>
    <row r="196" spans="1:8" ht="12.75" customHeight="1">
      <c r="A196" s="23">
        <v>43314</v>
      </c>
      <c r="B196" s="23"/>
      <c r="C196" s="27">
        <f>ROUND(7.39,5)</f>
        <v>7.39</v>
      </c>
      <c r="D196" s="27">
        <f>F196</f>
        <v>7.04873</v>
      </c>
      <c r="E196" s="27">
        <f>F196</f>
        <v>7.04873</v>
      </c>
      <c r="F196" s="27">
        <f>ROUND(7.04873,5)</f>
        <v>7.04873</v>
      </c>
      <c r="G196" s="24"/>
      <c r="H196" s="25"/>
    </row>
    <row r="197" spans="1:8" ht="12.75" customHeight="1">
      <c r="A197" s="23">
        <v>43405</v>
      </c>
      <c r="B197" s="23"/>
      <c r="C197" s="27">
        <f>ROUND(7.39,5)</f>
        <v>7.39</v>
      </c>
      <c r="D197" s="27">
        <f>F197</f>
        <v>0</v>
      </c>
      <c r="E197" s="27">
        <f>F197</f>
        <v>0</v>
      </c>
      <c r="F197" s="27">
        <f>ROUND(0,5)</f>
        <v>0</v>
      </c>
      <c r="G197" s="24"/>
      <c r="H197" s="25"/>
    </row>
    <row r="198" spans="1:8" ht="12.75" customHeight="1">
      <c r="A198" s="23">
        <v>43503</v>
      </c>
      <c r="B198" s="23"/>
      <c r="C198" s="27">
        <f>ROUND(7.39,5)</f>
        <v>7.39</v>
      </c>
      <c r="D198" s="27">
        <f>F198</f>
        <v>0</v>
      </c>
      <c r="E198" s="27">
        <f>F198</f>
        <v>0</v>
      </c>
      <c r="F198" s="27">
        <f>ROUND(0,5)</f>
        <v>0</v>
      </c>
      <c r="G198" s="24"/>
      <c r="H198" s="25"/>
    </row>
    <row r="199" spans="1:8" ht="12.75" customHeight="1">
      <c r="A199" s="23" t="s">
        <v>53</v>
      </c>
      <c r="B199" s="23"/>
      <c r="C199" s="28"/>
      <c r="D199" s="28"/>
      <c r="E199" s="28"/>
      <c r="F199" s="28"/>
      <c r="G199" s="24"/>
      <c r="H199" s="25"/>
    </row>
    <row r="200" spans="1:8" ht="12.75" customHeight="1">
      <c r="A200" s="23">
        <v>43132</v>
      </c>
      <c r="B200" s="23"/>
      <c r="C200" s="27">
        <f>ROUND(7.765,5)</f>
        <v>7.765</v>
      </c>
      <c r="D200" s="27">
        <f>F200</f>
        <v>7.78752</v>
      </c>
      <c r="E200" s="27">
        <f>F200</f>
        <v>7.78752</v>
      </c>
      <c r="F200" s="27">
        <f>ROUND(7.78752,5)</f>
        <v>7.78752</v>
      </c>
      <c r="G200" s="24"/>
      <c r="H200" s="25"/>
    </row>
    <row r="201" spans="1:8" ht="12.75" customHeight="1">
      <c r="A201" s="23">
        <v>43223</v>
      </c>
      <c r="B201" s="23"/>
      <c r="C201" s="27">
        <f>ROUND(7.765,5)</f>
        <v>7.765</v>
      </c>
      <c r="D201" s="27">
        <f>F201</f>
        <v>7.83323</v>
      </c>
      <c r="E201" s="27">
        <f>F201</f>
        <v>7.83323</v>
      </c>
      <c r="F201" s="27">
        <f>ROUND(7.83323,5)</f>
        <v>7.83323</v>
      </c>
      <c r="G201" s="24"/>
      <c r="H201" s="25"/>
    </row>
    <row r="202" spans="1:8" ht="12.75" customHeight="1">
      <c r="A202" s="23">
        <v>43314</v>
      </c>
      <c r="B202" s="23"/>
      <c r="C202" s="27">
        <f>ROUND(7.765,5)</f>
        <v>7.765</v>
      </c>
      <c r="D202" s="27">
        <f>F202</f>
        <v>7.87503</v>
      </c>
      <c r="E202" s="27">
        <f>F202</f>
        <v>7.87503</v>
      </c>
      <c r="F202" s="27">
        <f>ROUND(7.87503,5)</f>
        <v>7.87503</v>
      </c>
      <c r="G202" s="24"/>
      <c r="H202" s="25"/>
    </row>
    <row r="203" spans="1:8" ht="12.75" customHeight="1">
      <c r="A203" s="23">
        <v>43405</v>
      </c>
      <c r="B203" s="23"/>
      <c r="C203" s="27">
        <f>ROUND(7.765,5)</f>
        <v>7.765</v>
      </c>
      <c r="D203" s="27">
        <f>F203</f>
        <v>7.8716</v>
      </c>
      <c r="E203" s="27">
        <f>F203</f>
        <v>7.8716</v>
      </c>
      <c r="F203" s="27">
        <f>ROUND(7.8716,5)</f>
        <v>7.8716</v>
      </c>
      <c r="G203" s="24"/>
      <c r="H203" s="25"/>
    </row>
    <row r="204" spans="1:8" ht="12.75" customHeight="1">
      <c r="A204" s="23">
        <v>43503</v>
      </c>
      <c r="B204" s="23"/>
      <c r="C204" s="27">
        <f>ROUND(7.765,5)</f>
        <v>7.765</v>
      </c>
      <c r="D204" s="27">
        <f>F204</f>
        <v>7.93619</v>
      </c>
      <c r="E204" s="27">
        <f>F204</f>
        <v>7.93619</v>
      </c>
      <c r="F204" s="27">
        <f>ROUND(7.93619,5)</f>
        <v>7.93619</v>
      </c>
      <c r="G204" s="24"/>
      <c r="H204" s="25"/>
    </row>
    <row r="205" spans="1:8" ht="12.75" customHeight="1">
      <c r="A205" s="23" t="s">
        <v>54</v>
      </c>
      <c r="B205" s="23"/>
      <c r="C205" s="28"/>
      <c r="D205" s="28"/>
      <c r="E205" s="28"/>
      <c r="F205" s="28"/>
      <c r="G205" s="24"/>
      <c r="H205" s="25"/>
    </row>
    <row r="206" spans="1:8" ht="12.75" customHeight="1">
      <c r="A206" s="23">
        <v>43132</v>
      </c>
      <c r="B206" s="23"/>
      <c r="C206" s="27">
        <f>ROUND(8.02,5)</f>
        <v>8.02</v>
      </c>
      <c r="D206" s="27">
        <f>F206</f>
        <v>8.04735</v>
      </c>
      <c r="E206" s="27">
        <f>F206</f>
        <v>8.04735</v>
      </c>
      <c r="F206" s="27">
        <f>ROUND(8.04735,5)</f>
        <v>8.04735</v>
      </c>
      <c r="G206" s="24"/>
      <c r="H206" s="25"/>
    </row>
    <row r="207" spans="1:8" ht="12.75" customHeight="1">
      <c r="A207" s="23">
        <v>43223</v>
      </c>
      <c r="B207" s="23"/>
      <c r="C207" s="27">
        <f>ROUND(8.02,5)</f>
        <v>8.02</v>
      </c>
      <c r="D207" s="27">
        <f>F207</f>
        <v>8.09425</v>
      </c>
      <c r="E207" s="27">
        <f>F207</f>
        <v>8.09425</v>
      </c>
      <c r="F207" s="27">
        <f>ROUND(8.09425,5)</f>
        <v>8.09425</v>
      </c>
      <c r="G207" s="24"/>
      <c r="H207" s="25"/>
    </row>
    <row r="208" spans="1:8" ht="12.75" customHeight="1">
      <c r="A208" s="23">
        <v>43314</v>
      </c>
      <c r="B208" s="23"/>
      <c r="C208" s="27">
        <f>ROUND(8.02,5)</f>
        <v>8.02</v>
      </c>
      <c r="D208" s="27">
        <f>F208</f>
        <v>8.13887</v>
      </c>
      <c r="E208" s="27">
        <f>F208</f>
        <v>8.13887</v>
      </c>
      <c r="F208" s="27">
        <f>ROUND(8.13887,5)</f>
        <v>8.13887</v>
      </c>
      <c r="G208" s="24"/>
      <c r="H208" s="25"/>
    </row>
    <row r="209" spans="1:8" ht="12.75" customHeight="1">
      <c r="A209" s="23">
        <v>43405</v>
      </c>
      <c r="B209" s="23"/>
      <c r="C209" s="27">
        <f>ROUND(8.02,5)</f>
        <v>8.02</v>
      </c>
      <c r="D209" s="27">
        <f>F209</f>
        <v>8.17412</v>
      </c>
      <c r="E209" s="27">
        <f>F209</f>
        <v>8.17412</v>
      </c>
      <c r="F209" s="27">
        <f>ROUND(8.17412,5)</f>
        <v>8.17412</v>
      </c>
      <c r="G209" s="24"/>
      <c r="H209" s="25"/>
    </row>
    <row r="210" spans="1:8" ht="12.75" customHeight="1">
      <c r="A210" s="23">
        <v>43503</v>
      </c>
      <c r="B210" s="23"/>
      <c r="C210" s="27">
        <f>ROUND(8.02,5)</f>
        <v>8.02</v>
      </c>
      <c r="D210" s="27">
        <f>F210</f>
        <v>8.25156</v>
      </c>
      <c r="E210" s="27">
        <f>F210</f>
        <v>8.25156</v>
      </c>
      <c r="F210" s="27">
        <f>ROUND(8.25156,5)</f>
        <v>8.25156</v>
      </c>
      <c r="G210" s="24"/>
      <c r="H210" s="25"/>
    </row>
    <row r="211" spans="1:8" ht="12.75" customHeight="1">
      <c r="A211" s="23" t="s">
        <v>55</v>
      </c>
      <c r="B211" s="23"/>
      <c r="C211" s="28"/>
      <c r="D211" s="28"/>
      <c r="E211" s="28"/>
      <c r="F211" s="28"/>
      <c r="G211" s="24"/>
      <c r="H211" s="25"/>
    </row>
    <row r="212" spans="1:8" ht="12.75" customHeight="1">
      <c r="A212" s="23">
        <v>43132</v>
      </c>
      <c r="B212" s="23"/>
      <c r="C212" s="27">
        <f>ROUND(9.64,5)</f>
        <v>9.64</v>
      </c>
      <c r="D212" s="27">
        <f>F212</f>
        <v>9.67048</v>
      </c>
      <c r="E212" s="27">
        <f>F212</f>
        <v>9.67048</v>
      </c>
      <c r="F212" s="27">
        <f>ROUND(9.67048,5)</f>
        <v>9.67048</v>
      </c>
      <c r="G212" s="24"/>
      <c r="H212" s="25"/>
    </row>
    <row r="213" spans="1:8" ht="12.75" customHeight="1">
      <c r="A213" s="23">
        <v>43223</v>
      </c>
      <c r="B213" s="23"/>
      <c r="C213" s="27">
        <f>ROUND(9.64,5)</f>
        <v>9.64</v>
      </c>
      <c r="D213" s="27">
        <f>F213</f>
        <v>9.7272</v>
      </c>
      <c r="E213" s="27">
        <f>F213</f>
        <v>9.7272</v>
      </c>
      <c r="F213" s="27">
        <f>ROUND(9.7272,5)</f>
        <v>9.7272</v>
      </c>
      <c r="G213" s="24"/>
      <c r="H213" s="25"/>
    </row>
    <row r="214" spans="1:8" ht="12.75" customHeight="1">
      <c r="A214" s="23">
        <v>43314</v>
      </c>
      <c r="B214" s="23"/>
      <c r="C214" s="27">
        <f>ROUND(9.64,5)</f>
        <v>9.64</v>
      </c>
      <c r="D214" s="27">
        <f>F214</f>
        <v>9.78266</v>
      </c>
      <c r="E214" s="27">
        <f>F214</f>
        <v>9.78266</v>
      </c>
      <c r="F214" s="27">
        <f>ROUND(9.78266,5)</f>
        <v>9.78266</v>
      </c>
      <c r="G214" s="24"/>
      <c r="H214" s="25"/>
    </row>
    <row r="215" spans="1:8" ht="12.75" customHeight="1">
      <c r="A215" s="23">
        <v>43405</v>
      </c>
      <c r="B215" s="23"/>
      <c r="C215" s="27">
        <f>ROUND(9.64,5)</f>
        <v>9.64</v>
      </c>
      <c r="D215" s="27">
        <f>F215</f>
        <v>9.83584</v>
      </c>
      <c r="E215" s="27">
        <f>F215</f>
        <v>9.83584</v>
      </c>
      <c r="F215" s="27">
        <f>ROUND(9.83584,5)</f>
        <v>9.83584</v>
      </c>
      <c r="G215" s="24"/>
      <c r="H215" s="25"/>
    </row>
    <row r="216" spans="1:8" ht="12.75" customHeight="1">
      <c r="A216" s="23">
        <v>43503</v>
      </c>
      <c r="B216" s="23"/>
      <c r="C216" s="27">
        <f>ROUND(9.64,5)</f>
        <v>9.64</v>
      </c>
      <c r="D216" s="27">
        <f>F216</f>
        <v>9.90183</v>
      </c>
      <c r="E216" s="27">
        <f>F216</f>
        <v>9.90183</v>
      </c>
      <c r="F216" s="27">
        <f>ROUND(9.90183,5)</f>
        <v>9.90183</v>
      </c>
      <c r="G216" s="24"/>
      <c r="H216" s="25"/>
    </row>
    <row r="217" spans="1:8" ht="12.75" customHeight="1">
      <c r="A217" s="23" t="s">
        <v>56</v>
      </c>
      <c r="B217" s="23"/>
      <c r="C217" s="28"/>
      <c r="D217" s="28"/>
      <c r="E217" s="28"/>
      <c r="F217" s="28"/>
      <c r="G217" s="24"/>
      <c r="H217" s="25"/>
    </row>
    <row r="218" spans="1:8" ht="12.75" customHeight="1">
      <c r="A218" s="23">
        <v>43132</v>
      </c>
      <c r="B218" s="23"/>
      <c r="C218" s="27">
        <f>ROUND(2.67,5)</f>
        <v>2.67</v>
      </c>
      <c r="D218" s="27">
        <f>F218</f>
        <v>185.04937</v>
      </c>
      <c r="E218" s="27">
        <f>F218</f>
        <v>185.04937</v>
      </c>
      <c r="F218" s="27">
        <f>ROUND(185.04937,5)</f>
        <v>185.04937</v>
      </c>
      <c r="G218" s="24"/>
      <c r="H218" s="25"/>
    </row>
    <row r="219" spans="1:8" ht="12.75" customHeight="1">
      <c r="A219" s="23">
        <v>43223</v>
      </c>
      <c r="B219" s="23"/>
      <c r="C219" s="27">
        <f>ROUND(2.67,5)</f>
        <v>2.67</v>
      </c>
      <c r="D219" s="27">
        <f>F219</f>
        <v>186.09328</v>
      </c>
      <c r="E219" s="27">
        <f>F219</f>
        <v>186.09328</v>
      </c>
      <c r="F219" s="27">
        <f>ROUND(186.09328,5)</f>
        <v>186.09328</v>
      </c>
      <c r="G219" s="24"/>
      <c r="H219" s="25"/>
    </row>
    <row r="220" spans="1:8" ht="12.75" customHeight="1">
      <c r="A220" s="23">
        <v>43314</v>
      </c>
      <c r="B220" s="23"/>
      <c r="C220" s="27">
        <f>ROUND(2.67,5)</f>
        <v>2.67</v>
      </c>
      <c r="D220" s="27">
        <f>F220</f>
        <v>189.63844</v>
      </c>
      <c r="E220" s="27">
        <f>F220</f>
        <v>189.63844</v>
      </c>
      <c r="F220" s="27">
        <f>ROUND(189.63844,5)</f>
        <v>189.63844</v>
      </c>
      <c r="G220" s="24"/>
      <c r="H220" s="25"/>
    </row>
    <row r="221" spans="1:8" ht="12.75" customHeight="1">
      <c r="A221" s="23">
        <v>43405</v>
      </c>
      <c r="B221" s="23"/>
      <c r="C221" s="27">
        <f>ROUND(2.67,5)</f>
        <v>2.67</v>
      </c>
      <c r="D221" s="27">
        <f>F221</f>
        <v>193.3737</v>
      </c>
      <c r="E221" s="27">
        <f>F221</f>
        <v>193.3737</v>
      </c>
      <c r="F221" s="27">
        <f>ROUND(193.3737,5)</f>
        <v>193.3737</v>
      </c>
      <c r="G221" s="24"/>
      <c r="H221" s="25"/>
    </row>
    <row r="222" spans="1:8" ht="12.75" customHeight="1">
      <c r="A222" s="23">
        <v>43503</v>
      </c>
      <c r="B222" s="23"/>
      <c r="C222" s="27">
        <f>ROUND(2.67,5)</f>
        <v>2.67</v>
      </c>
      <c r="D222" s="27">
        <f>F222</f>
        <v>197.29635</v>
      </c>
      <c r="E222" s="27">
        <f>F222</f>
        <v>197.29635</v>
      </c>
      <c r="F222" s="27">
        <f>ROUND(197.29635,5)</f>
        <v>197.29635</v>
      </c>
      <c r="G222" s="24"/>
      <c r="H222" s="25"/>
    </row>
    <row r="223" spans="1:8" ht="12.75" customHeight="1">
      <c r="A223" s="23" t="s">
        <v>57</v>
      </c>
      <c r="B223" s="23"/>
      <c r="C223" s="28"/>
      <c r="D223" s="28"/>
      <c r="E223" s="28"/>
      <c r="F223" s="28"/>
      <c r="G223" s="24"/>
      <c r="H223" s="25"/>
    </row>
    <row r="224" spans="1:8" ht="12.75" customHeight="1">
      <c r="A224" s="23">
        <v>43132</v>
      </c>
      <c r="B224" s="23"/>
      <c r="C224" s="27">
        <f>ROUND(2.53,5)</f>
        <v>2.53</v>
      </c>
      <c r="D224" s="27">
        <f>F224</f>
        <v>150.14714</v>
      </c>
      <c r="E224" s="27">
        <f>F224</f>
        <v>150.14714</v>
      </c>
      <c r="F224" s="27">
        <f>ROUND(150.14714,5)</f>
        <v>150.14714</v>
      </c>
      <c r="G224" s="24"/>
      <c r="H224" s="25"/>
    </row>
    <row r="225" spans="1:8" ht="12.75" customHeight="1">
      <c r="A225" s="23">
        <v>43223</v>
      </c>
      <c r="B225" s="23"/>
      <c r="C225" s="27">
        <f>ROUND(2.53,5)</f>
        <v>2.53</v>
      </c>
      <c r="D225" s="27">
        <f>F225</f>
        <v>152.96183</v>
      </c>
      <c r="E225" s="27">
        <f>F225</f>
        <v>152.96183</v>
      </c>
      <c r="F225" s="27">
        <f>ROUND(152.96183,5)</f>
        <v>152.96183</v>
      </c>
      <c r="G225" s="24"/>
      <c r="H225" s="25"/>
    </row>
    <row r="226" spans="1:8" ht="12.75" customHeight="1">
      <c r="A226" s="23">
        <v>43314</v>
      </c>
      <c r="B226" s="23"/>
      <c r="C226" s="27">
        <f>ROUND(2.53,5)</f>
        <v>2.53</v>
      </c>
      <c r="D226" s="27">
        <f>F226</f>
        <v>155.80811</v>
      </c>
      <c r="E226" s="27">
        <f>F226</f>
        <v>155.80811</v>
      </c>
      <c r="F226" s="27">
        <f>ROUND(155.80811,5)</f>
        <v>155.80811</v>
      </c>
      <c r="G226" s="24"/>
      <c r="H226" s="25"/>
    </row>
    <row r="227" spans="1:8" ht="12.75" customHeight="1">
      <c r="A227" s="23">
        <v>43405</v>
      </c>
      <c r="B227" s="23"/>
      <c r="C227" s="27">
        <f>ROUND(2.53,5)</f>
        <v>2.53</v>
      </c>
      <c r="D227" s="27">
        <f>F227</f>
        <v>158.87694</v>
      </c>
      <c r="E227" s="27">
        <f>F227</f>
        <v>158.87694</v>
      </c>
      <c r="F227" s="27">
        <f>ROUND(158.87694,5)</f>
        <v>158.87694</v>
      </c>
      <c r="G227" s="24"/>
      <c r="H227" s="25"/>
    </row>
    <row r="228" spans="1:8" ht="12.75" customHeight="1">
      <c r="A228" s="23">
        <v>43503</v>
      </c>
      <c r="B228" s="23"/>
      <c r="C228" s="27">
        <f>ROUND(2.53,5)</f>
        <v>2.53</v>
      </c>
      <c r="D228" s="27">
        <f>F228</f>
        <v>162.10008</v>
      </c>
      <c r="E228" s="27">
        <f>F228</f>
        <v>162.10008</v>
      </c>
      <c r="F228" s="27">
        <f>ROUND(162.10008,5)</f>
        <v>162.10008</v>
      </c>
      <c r="G228" s="24"/>
      <c r="H228" s="25"/>
    </row>
    <row r="229" spans="1:8" ht="12.75" customHeight="1">
      <c r="A229" s="23" t="s">
        <v>58</v>
      </c>
      <c r="B229" s="23"/>
      <c r="C229" s="28"/>
      <c r="D229" s="28"/>
      <c r="E229" s="28"/>
      <c r="F229" s="28"/>
      <c r="G229" s="24"/>
      <c r="H229" s="25"/>
    </row>
    <row r="230" spans="1:8" ht="12.75" customHeight="1">
      <c r="A230" s="23">
        <v>43132</v>
      </c>
      <c r="B230" s="23"/>
      <c r="C230" s="27">
        <f>ROUND(9.475,5)</f>
        <v>9.475</v>
      </c>
      <c r="D230" s="27">
        <f>F230</f>
        <v>9.50929</v>
      </c>
      <c r="E230" s="27">
        <f>F230</f>
        <v>9.50929</v>
      </c>
      <c r="F230" s="27">
        <f>ROUND(9.50929,5)</f>
        <v>9.50929</v>
      </c>
      <c r="G230" s="24"/>
      <c r="H230" s="25"/>
    </row>
    <row r="231" spans="1:8" ht="12.75" customHeight="1">
      <c r="A231" s="23">
        <v>43223</v>
      </c>
      <c r="B231" s="23"/>
      <c r="C231" s="27">
        <f>ROUND(9.475,5)</f>
        <v>9.475</v>
      </c>
      <c r="D231" s="27">
        <f>F231</f>
        <v>9.56934</v>
      </c>
      <c r="E231" s="27">
        <f>F231</f>
        <v>9.56934</v>
      </c>
      <c r="F231" s="27">
        <f>ROUND(9.56934,5)</f>
        <v>9.56934</v>
      </c>
      <c r="G231" s="24"/>
      <c r="H231" s="25"/>
    </row>
    <row r="232" spans="1:8" ht="12.75" customHeight="1">
      <c r="A232" s="23">
        <v>43314</v>
      </c>
      <c r="B232" s="23"/>
      <c r="C232" s="27">
        <f>ROUND(9.475,5)</f>
        <v>9.475</v>
      </c>
      <c r="D232" s="27">
        <f>F232</f>
        <v>9.62885</v>
      </c>
      <c r="E232" s="27">
        <f>F232</f>
        <v>9.62885</v>
      </c>
      <c r="F232" s="27">
        <f>ROUND(9.62885,5)</f>
        <v>9.62885</v>
      </c>
      <c r="G232" s="24"/>
      <c r="H232" s="25"/>
    </row>
    <row r="233" spans="1:8" ht="12.75" customHeight="1">
      <c r="A233" s="23">
        <v>43405</v>
      </c>
      <c r="B233" s="23"/>
      <c r="C233" s="27">
        <f>ROUND(9.475,5)</f>
        <v>9.475</v>
      </c>
      <c r="D233" s="27">
        <f>F233</f>
        <v>9.68827</v>
      </c>
      <c r="E233" s="27">
        <f>F233</f>
        <v>9.68827</v>
      </c>
      <c r="F233" s="27">
        <f>ROUND(9.68827,5)</f>
        <v>9.68827</v>
      </c>
      <c r="G233" s="24"/>
      <c r="H233" s="25"/>
    </row>
    <row r="234" spans="1:8" ht="12.75" customHeight="1">
      <c r="A234" s="23">
        <v>43503</v>
      </c>
      <c r="B234" s="23"/>
      <c r="C234" s="27">
        <f>ROUND(9.475,5)</f>
        <v>9.475</v>
      </c>
      <c r="D234" s="27">
        <f>F234</f>
        <v>9.76458</v>
      </c>
      <c r="E234" s="27">
        <f>F234</f>
        <v>9.76458</v>
      </c>
      <c r="F234" s="27">
        <f>ROUND(9.76458,5)</f>
        <v>9.76458</v>
      </c>
      <c r="G234" s="24"/>
      <c r="H234" s="25"/>
    </row>
    <row r="235" spans="1:8" ht="12.75" customHeight="1">
      <c r="A235" s="23" t="s">
        <v>59</v>
      </c>
      <c r="B235" s="23"/>
      <c r="C235" s="28"/>
      <c r="D235" s="28"/>
      <c r="E235" s="28"/>
      <c r="F235" s="28"/>
      <c r="G235" s="24"/>
      <c r="H235" s="25"/>
    </row>
    <row r="236" spans="1:8" ht="12.75" customHeight="1">
      <c r="A236" s="23">
        <v>43132</v>
      </c>
      <c r="B236" s="23"/>
      <c r="C236" s="27">
        <f>ROUND(9.81,5)</f>
        <v>9.81</v>
      </c>
      <c r="D236" s="27">
        <f>F236</f>
        <v>9.84225</v>
      </c>
      <c r="E236" s="27">
        <f>F236</f>
        <v>9.84225</v>
      </c>
      <c r="F236" s="27">
        <f>ROUND(9.84225,5)</f>
        <v>9.84225</v>
      </c>
      <c r="G236" s="24"/>
      <c r="H236" s="25"/>
    </row>
    <row r="237" spans="1:8" ht="12.75" customHeight="1">
      <c r="A237" s="23">
        <v>43223</v>
      </c>
      <c r="B237" s="23"/>
      <c r="C237" s="27">
        <f>ROUND(9.81,5)</f>
        <v>9.81</v>
      </c>
      <c r="D237" s="27">
        <f>F237</f>
        <v>9.89897</v>
      </c>
      <c r="E237" s="27">
        <f>F237</f>
        <v>9.89897</v>
      </c>
      <c r="F237" s="27">
        <f>ROUND(9.89897,5)</f>
        <v>9.89897</v>
      </c>
      <c r="G237" s="24"/>
      <c r="H237" s="25"/>
    </row>
    <row r="238" spans="1:8" ht="12.75" customHeight="1">
      <c r="A238" s="23">
        <v>43314</v>
      </c>
      <c r="B238" s="23"/>
      <c r="C238" s="27">
        <f>ROUND(9.81,5)</f>
        <v>9.81</v>
      </c>
      <c r="D238" s="27">
        <f>F238</f>
        <v>9.95503</v>
      </c>
      <c r="E238" s="27">
        <f>F238</f>
        <v>9.95503</v>
      </c>
      <c r="F238" s="27">
        <f>ROUND(9.95503,5)</f>
        <v>9.95503</v>
      </c>
      <c r="G238" s="24"/>
      <c r="H238" s="25"/>
    </row>
    <row r="239" spans="1:8" ht="12.75" customHeight="1">
      <c r="A239" s="23">
        <v>43405</v>
      </c>
      <c r="B239" s="23"/>
      <c r="C239" s="27">
        <f>ROUND(9.81,5)</f>
        <v>9.81</v>
      </c>
      <c r="D239" s="27">
        <f>F239</f>
        <v>10.01062</v>
      </c>
      <c r="E239" s="27">
        <f>F239</f>
        <v>10.01062</v>
      </c>
      <c r="F239" s="27">
        <f>ROUND(10.01062,5)</f>
        <v>10.01062</v>
      </c>
      <c r="G239" s="24"/>
      <c r="H239" s="25"/>
    </row>
    <row r="240" spans="1:8" ht="12.75" customHeight="1">
      <c r="A240" s="23">
        <v>43503</v>
      </c>
      <c r="B240" s="23"/>
      <c r="C240" s="27">
        <f>ROUND(9.81,5)</f>
        <v>9.81</v>
      </c>
      <c r="D240" s="27">
        <f>F240</f>
        <v>10.08004</v>
      </c>
      <c r="E240" s="27">
        <f>F240</f>
        <v>10.08004</v>
      </c>
      <c r="F240" s="27">
        <f>ROUND(10.08004,5)</f>
        <v>10.08004</v>
      </c>
      <c r="G240" s="24"/>
      <c r="H240" s="25"/>
    </row>
    <row r="241" spans="1:8" ht="12.75" customHeight="1">
      <c r="A241" s="23" t="s">
        <v>60</v>
      </c>
      <c r="B241" s="23"/>
      <c r="C241" s="28"/>
      <c r="D241" s="28"/>
      <c r="E241" s="28"/>
      <c r="F241" s="28"/>
      <c r="G241" s="24"/>
      <c r="H241" s="25"/>
    </row>
    <row r="242" spans="1:8" ht="12.75" customHeight="1">
      <c r="A242" s="23">
        <v>43132</v>
      </c>
      <c r="B242" s="23"/>
      <c r="C242" s="27">
        <f>ROUND(9.865,5)</f>
        <v>9.865</v>
      </c>
      <c r="D242" s="27">
        <f>F242</f>
        <v>9.89822</v>
      </c>
      <c r="E242" s="27">
        <f>F242</f>
        <v>9.89822</v>
      </c>
      <c r="F242" s="27">
        <f>ROUND(9.89822,5)</f>
        <v>9.89822</v>
      </c>
      <c r="G242" s="24"/>
      <c r="H242" s="25"/>
    </row>
    <row r="243" spans="1:8" ht="12.75" customHeight="1">
      <c r="A243" s="23">
        <v>43223</v>
      </c>
      <c r="B243" s="23"/>
      <c r="C243" s="27">
        <f>ROUND(9.865,5)</f>
        <v>9.865</v>
      </c>
      <c r="D243" s="27">
        <f>F243</f>
        <v>9.95672</v>
      </c>
      <c r="E243" s="27">
        <f>F243</f>
        <v>9.95672</v>
      </c>
      <c r="F243" s="27">
        <f>ROUND(9.95672,5)</f>
        <v>9.95672</v>
      </c>
      <c r="G243" s="24"/>
      <c r="H243" s="25"/>
    </row>
    <row r="244" spans="1:8" ht="12.75" customHeight="1">
      <c r="A244" s="23">
        <v>43314</v>
      </c>
      <c r="B244" s="23"/>
      <c r="C244" s="27">
        <f>ROUND(9.865,5)</f>
        <v>9.865</v>
      </c>
      <c r="D244" s="27">
        <f>F244</f>
        <v>10.01464</v>
      </c>
      <c r="E244" s="27">
        <f>F244</f>
        <v>10.01464</v>
      </c>
      <c r="F244" s="27">
        <f>ROUND(10.01464,5)</f>
        <v>10.01464</v>
      </c>
      <c r="G244" s="24"/>
      <c r="H244" s="25"/>
    </row>
    <row r="245" spans="1:8" ht="12.75" customHeight="1">
      <c r="A245" s="23">
        <v>43405</v>
      </c>
      <c r="B245" s="23"/>
      <c r="C245" s="27">
        <f>ROUND(9.865,5)</f>
        <v>9.865</v>
      </c>
      <c r="D245" s="27">
        <f>F245</f>
        <v>10.0721</v>
      </c>
      <c r="E245" s="27">
        <f>F245</f>
        <v>10.0721</v>
      </c>
      <c r="F245" s="27">
        <f>ROUND(10.0721,5)</f>
        <v>10.0721</v>
      </c>
      <c r="G245" s="24"/>
      <c r="H245" s="25"/>
    </row>
    <row r="246" spans="1:8" ht="12.75" customHeight="1">
      <c r="A246" s="23">
        <v>43503</v>
      </c>
      <c r="B246" s="23"/>
      <c r="C246" s="27">
        <f>ROUND(9.865,5)</f>
        <v>9.865</v>
      </c>
      <c r="D246" s="27">
        <f>F246</f>
        <v>10.14374</v>
      </c>
      <c r="E246" s="27">
        <f>F246</f>
        <v>10.14374</v>
      </c>
      <c r="F246" s="27">
        <f>ROUND(10.14374,5)</f>
        <v>10.14374</v>
      </c>
      <c r="G246" s="24"/>
      <c r="H246" s="25"/>
    </row>
    <row r="247" spans="1:8" ht="12.75" customHeight="1">
      <c r="A247" s="23" t="s">
        <v>61</v>
      </c>
      <c r="B247" s="23"/>
      <c r="C247" s="28"/>
      <c r="D247" s="28"/>
      <c r="E247" s="28"/>
      <c r="F247" s="28"/>
      <c r="G247" s="24"/>
      <c r="H247" s="25"/>
    </row>
    <row r="248" spans="1:8" ht="12.75" customHeight="1">
      <c r="A248" s="23">
        <v>43096</v>
      </c>
      <c r="B248" s="23"/>
      <c r="C248" s="26">
        <f>ROUND(9.83676907125,4)</f>
        <v>9.8368</v>
      </c>
      <c r="D248" s="26">
        <f>F248</f>
        <v>9.8454</v>
      </c>
      <c r="E248" s="26">
        <f>F248</f>
        <v>9.8454</v>
      </c>
      <c r="F248" s="26">
        <f>ROUND(9.8454,4)</f>
        <v>9.8454</v>
      </c>
      <c r="G248" s="24"/>
      <c r="H248" s="25"/>
    </row>
    <row r="249" spans="1:8" ht="12.75" customHeight="1">
      <c r="A249" s="23">
        <v>43115</v>
      </c>
      <c r="B249" s="23"/>
      <c r="C249" s="26">
        <f>ROUND(9.83676907125,4)</f>
        <v>9.8368</v>
      </c>
      <c r="D249" s="26">
        <f>F249</f>
        <v>9.8756</v>
      </c>
      <c r="E249" s="26">
        <f>F249</f>
        <v>9.8756</v>
      </c>
      <c r="F249" s="26">
        <f>ROUND(9.8756,4)</f>
        <v>9.8756</v>
      </c>
      <c r="G249" s="24"/>
      <c r="H249" s="25"/>
    </row>
    <row r="250" spans="1:8" ht="12.75" customHeight="1">
      <c r="A250" s="23">
        <v>43159</v>
      </c>
      <c r="B250" s="23"/>
      <c r="C250" s="26">
        <f>ROUND(9.83676907125,4)</f>
        <v>9.8368</v>
      </c>
      <c r="D250" s="26">
        <f>F250</f>
        <v>9.9406</v>
      </c>
      <c r="E250" s="26">
        <f>F250</f>
        <v>9.9406</v>
      </c>
      <c r="F250" s="26">
        <f>ROUND(9.9406,4)</f>
        <v>9.9406</v>
      </c>
      <c r="G250" s="24"/>
      <c r="H250" s="25"/>
    </row>
    <row r="251" spans="1:8" ht="12.75" customHeight="1">
      <c r="A251" s="23" t="s">
        <v>62</v>
      </c>
      <c r="B251" s="23"/>
      <c r="C251" s="28"/>
      <c r="D251" s="28"/>
      <c r="E251" s="28"/>
      <c r="F251" s="28"/>
      <c r="G251" s="24"/>
      <c r="H251" s="25"/>
    </row>
    <row r="252" spans="1:8" ht="12.75" customHeight="1">
      <c r="A252" s="23">
        <v>43096</v>
      </c>
      <c r="B252" s="23"/>
      <c r="C252" s="26">
        <f>ROUND(15.1468016175,4)</f>
        <v>15.1468</v>
      </c>
      <c r="D252" s="26">
        <f>F252</f>
        <v>15.1656</v>
      </c>
      <c r="E252" s="26">
        <f>F252</f>
        <v>15.1656</v>
      </c>
      <c r="F252" s="26">
        <f>ROUND(15.1656,4)</f>
        <v>15.1656</v>
      </c>
      <c r="G252" s="24"/>
      <c r="H252" s="25"/>
    </row>
    <row r="253" spans="1:8" ht="12.75" customHeight="1">
      <c r="A253" s="23">
        <v>43130</v>
      </c>
      <c r="B253" s="23"/>
      <c r="C253" s="26">
        <f>ROUND(15.1468016175,4)</f>
        <v>15.1468</v>
      </c>
      <c r="D253" s="26">
        <f>F253</f>
        <v>15.2941</v>
      </c>
      <c r="E253" s="26">
        <f>F253</f>
        <v>15.2941</v>
      </c>
      <c r="F253" s="26">
        <f>ROUND(15.2941,4)</f>
        <v>15.2941</v>
      </c>
      <c r="G253" s="24"/>
      <c r="H253" s="25"/>
    </row>
    <row r="254" spans="1:8" ht="12.75" customHeight="1">
      <c r="A254" s="23">
        <v>43131</v>
      </c>
      <c r="B254" s="23"/>
      <c r="C254" s="26">
        <f>ROUND(15.1468016175,4)</f>
        <v>15.1468</v>
      </c>
      <c r="D254" s="26">
        <f>F254</f>
        <v>15.309</v>
      </c>
      <c r="E254" s="26">
        <f>F254</f>
        <v>15.309</v>
      </c>
      <c r="F254" s="26">
        <f>ROUND(15.309,4)</f>
        <v>15.309</v>
      </c>
      <c r="G254" s="24"/>
      <c r="H254" s="25"/>
    </row>
    <row r="255" spans="1:8" ht="12.75" customHeight="1">
      <c r="A255" s="23">
        <v>43146</v>
      </c>
      <c r="B255" s="23"/>
      <c r="C255" s="26">
        <f>ROUND(15.1468016175,4)</f>
        <v>15.1468</v>
      </c>
      <c r="D255" s="26">
        <f>F255</f>
        <v>15.358</v>
      </c>
      <c r="E255" s="26">
        <f>F255</f>
        <v>15.358</v>
      </c>
      <c r="F255" s="26">
        <f>ROUND(15.358,4)</f>
        <v>15.358</v>
      </c>
      <c r="G255" s="24"/>
      <c r="H255" s="25"/>
    </row>
    <row r="256" spans="1:8" ht="12.75" customHeight="1">
      <c r="A256" s="23">
        <v>43159</v>
      </c>
      <c r="B256" s="23"/>
      <c r="C256" s="26">
        <f>ROUND(15.1468016175,4)</f>
        <v>15.1468</v>
      </c>
      <c r="D256" s="26">
        <f>F256</f>
        <v>15.4</v>
      </c>
      <c r="E256" s="26">
        <f>F256</f>
        <v>15.4</v>
      </c>
      <c r="F256" s="26">
        <f>ROUND(15.4,4)</f>
        <v>15.4</v>
      </c>
      <c r="G256" s="24"/>
      <c r="H256" s="25"/>
    </row>
    <row r="257" spans="1:8" ht="12.75" customHeight="1">
      <c r="A257" s="23">
        <v>43174</v>
      </c>
      <c r="B257" s="23"/>
      <c r="C257" s="26">
        <f>ROUND(15.1468016175,4)</f>
        <v>15.1468</v>
      </c>
      <c r="D257" s="26">
        <f>F257</f>
        <v>15.4482</v>
      </c>
      <c r="E257" s="26">
        <f>F257</f>
        <v>15.4482</v>
      </c>
      <c r="F257" s="26">
        <f>ROUND(15.4482,4)</f>
        <v>15.4482</v>
      </c>
      <c r="G257" s="24"/>
      <c r="H257" s="25"/>
    </row>
    <row r="258" spans="1:8" ht="12.75" customHeight="1">
      <c r="A258" s="23">
        <v>43188</v>
      </c>
      <c r="B258" s="23"/>
      <c r="C258" s="26">
        <f>ROUND(15.1468016175,4)</f>
        <v>15.1468</v>
      </c>
      <c r="D258" s="26">
        <f>F258</f>
        <v>15.4951</v>
      </c>
      <c r="E258" s="26">
        <f>F258</f>
        <v>15.4951</v>
      </c>
      <c r="F258" s="26">
        <f>ROUND(15.4951,4)</f>
        <v>15.4951</v>
      </c>
      <c r="G258" s="24"/>
      <c r="H258" s="25"/>
    </row>
    <row r="259" spans="1:8" ht="12.75" customHeight="1">
      <c r="A259" s="23" t="s">
        <v>63</v>
      </c>
      <c r="B259" s="23"/>
      <c r="C259" s="28"/>
      <c r="D259" s="28"/>
      <c r="E259" s="28"/>
      <c r="F259" s="28"/>
      <c r="G259" s="24"/>
      <c r="H259" s="25"/>
    </row>
    <row r="260" spans="1:8" ht="12.75" customHeight="1">
      <c r="A260" s="23">
        <v>43131</v>
      </c>
      <c r="B260" s="23"/>
      <c r="C260" s="26">
        <f>ROUND(17.20243256625,4)</f>
        <v>17.2024</v>
      </c>
      <c r="D260" s="26">
        <f>F260</f>
        <v>17.3651</v>
      </c>
      <c r="E260" s="26">
        <f>F260</f>
        <v>17.3651</v>
      </c>
      <c r="F260" s="26">
        <f>ROUND(17.3651,4)</f>
        <v>17.3651</v>
      </c>
      <c r="G260" s="24"/>
      <c r="H260" s="25"/>
    </row>
    <row r="261" spans="1:8" ht="12.75" customHeight="1">
      <c r="A261" s="23">
        <v>43160</v>
      </c>
      <c r="B261" s="23"/>
      <c r="C261" s="26">
        <f>ROUND(17.20243256625,4)</f>
        <v>17.2024</v>
      </c>
      <c r="D261" s="26">
        <f>F261</f>
        <v>17.4574</v>
      </c>
      <c r="E261" s="26">
        <f>F261</f>
        <v>17.4574</v>
      </c>
      <c r="F261" s="26">
        <f>ROUND(17.4574,4)</f>
        <v>17.4574</v>
      </c>
      <c r="G261" s="24"/>
      <c r="H261" s="25"/>
    </row>
    <row r="262" spans="1:8" ht="12.75" customHeight="1">
      <c r="A262" s="23">
        <v>43174</v>
      </c>
      <c r="B262" s="23"/>
      <c r="C262" s="26">
        <f>ROUND(17.20243256625,4)</f>
        <v>17.2024</v>
      </c>
      <c r="D262" s="26">
        <f>F262</f>
        <v>17.5017</v>
      </c>
      <c r="E262" s="26">
        <f>F262</f>
        <v>17.5017</v>
      </c>
      <c r="F262" s="26">
        <f>ROUND(17.5017,4)</f>
        <v>17.5017</v>
      </c>
      <c r="G262" s="24"/>
      <c r="H262" s="25"/>
    </row>
    <row r="263" spans="1:8" ht="12.75" customHeight="1">
      <c r="A263" s="23" t="s">
        <v>64</v>
      </c>
      <c r="B263" s="23"/>
      <c r="C263" s="28"/>
      <c r="D263" s="28"/>
      <c r="E263" s="28"/>
      <c r="F263" s="28"/>
      <c r="G263" s="24"/>
      <c r="H263" s="25"/>
    </row>
    <row r="264" spans="1:8" ht="12.75" customHeight="1">
      <c r="A264" s="23">
        <v>43088</v>
      </c>
      <c r="B264" s="23"/>
      <c r="C264" s="26">
        <f>ROUND(12.82725,4)</f>
        <v>12.8273</v>
      </c>
      <c r="D264" s="26">
        <f>F264</f>
        <v>12.8293</v>
      </c>
      <c r="E264" s="26">
        <f>F264</f>
        <v>12.8293</v>
      </c>
      <c r="F264" s="26">
        <f>ROUND(12.8293,4)</f>
        <v>12.8293</v>
      </c>
      <c r="G264" s="24"/>
      <c r="H264" s="25"/>
    </row>
    <row r="265" spans="1:8" ht="12.75" customHeight="1">
      <c r="A265" s="23">
        <v>43090</v>
      </c>
      <c r="B265" s="23"/>
      <c r="C265" s="26">
        <f>ROUND(12.82725,4)</f>
        <v>12.8273</v>
      </c>
      <c r="D265" s="26">
        <f>F265</f>
        <v>12.8293</v>
      </c>
      <c r="E265" s="26">
        <f>F265</f>
        <v>12.8293</v>
      </c>
      <c r="F265" s="26">
        <f>ROUND(12.8293,4)</f>
        <v>12.8293</v>
      </c>
      <c r="G265" s="24"/>
      <c r="H265" s="25"/>
    </row>
    <row r="266" spans="1:8" ht="12.75" customHeight="1">
      <c r="A266" s="23">
        <v>43091</v>
      </c>
      <c r="B266" s="23"/>
      <c r="C266" s="26">
        <f>ROUND(12.82725,4)</f>
        <v>12.8273</v>
      </c>
      <c r="D266" s="26">
        <f>F266</f>
        <v>12.8309</v>
      </c>
      <c r="E266" s="26">
        <f>F266</f>
        <v>12.8309</v>
      </c>
      <c r="F266" s="26">
        <f>ROUND(12.8309,4)</f>
        <v>12.8309</v>
      </c>
      <c r="G266" s="24"/>
      <c r="H266" s="25"/>
    </row>
    <row r="267" spans="1:8" ht="12.75" customHeight="1">
      <c r="A267" s="23">
        <v>43096</v>
      </c>
      <c r="B267" s="23"/>
      <c r="C267" s="26">
        <f>ROUND(12.82725,4)</f>
        <v>12.8273</v>
      </c>
      <c r="D267" s="26">
        <f>F267</f>
        <v>12.8386</v>
      </c>
      <c r="E267" s="26">
        <f>F267</f>
        <v>12.8386</v>
      </c>
      <c r="F267" s="26">
        <f>ROUND(12.8386,4)</f>
        <v>12.8386</v>
      </c>
      <c r="G267" s="24"/>
      <c r="H267" s="25"/>
    </row>
    <row r="268" spans="1:8" ht="12.75" customHeight="1">
      <c r="A268" s="23">
        <v>43097</v>
      </c>
      <c r="B268" s="23"/>
      <c r="C268" s="26">
        <f>ROUND(12.82725,4)</f>
        <v>12.8273</v>
      </c>
      <c r="D268" s="26">
        <f>F268</f>
        <v>12.8401</v>
      </c>
      <c r="E268" s="26">
        <f>F268</f>
        <v>12.8401</v>
      </c>
      <c r="F268" s="26">
        <f>ROUND(12.8401,4)</f>
        <v>12.8401</v>
      </c>
      <c r="G268" s="24"/>
      <c r="H268" s="25"/>
    </row>
    <row r="269" spans="1:8" ht="12.75" customHeight="1">
      <c r="A269" s="23">
        <v>43098</v>
      </c>
      <c r="B269" s="23"/>
      <c r="C269" s="26">
        <f>ROUND(12.82725,4)</f>
        <v>12.8273</v>
      </c>
      <c r="D269" s="26">
        <f>F269</f>
        <v>12.8417</v>
      </c>
      <c r="E269" s="26">
        <f>F269</f>
        <v>12.8417</v>
      </c>
      <c r="F269" s="26">
        <f>ROUND(12.8417,4)</f>
        <v>12.8417</v>
      </c>
      <c r="G269" s="24"/>
      <c r="H269" s="25"/>
    </row>
    <row r="270" spans="1:8" ht="12.75" customHeight="1">
      <c r="A270" s="23">
        <v>43102</v>
      </c>
      <c r="B270" s="23"/>
      <c r="C270" s="26">
        <f>ROUND(12.82725,4)</f>
        <v>12.8273</v>
      </c>
      <c r="D270" s="26">
        <f>F270</f>
        <v>12.8503</v>
      </c>
      <c r="E270" s="26">
        <f>F270</f>
        <v>12.8503</v>
      </c>
      <c r="F270" s="26">
        <f>ROUND(12.8503,4)</f>
        <v>12.8503</v>
      </c>
      <c r="G270" s="24"/>
      <c r="H270" s="25"/>
    </row>
    <row r="271" spans="1:8" ht="12.75" customHeight="1">
      <c r="A271" s="23">
        <v>43104</v>
      </c>
      <c r="B271" s="23"/>
      <c r="C271" s="26">
        <f>ROUND(12.82725,4)</f>
        <v>12.8273</v>
      </c>
      <c r="D271" s="26">
        <f>F271</f>
        <v>12.8546</v>
      </c>
      <c r="E271" s="26">
        <f>F271</f>
        <v>12.8546</v>
      </c>
      <c r="F271" s="26">
        <f>ROUND(12.8546,4)</f>
        <v>12.8546</v>
      </c>
      <c r="G271" s="24"/>
      <c r="H271" s="25"/>
    </row>
    <row r="272" spans="1:8" ht="12.75" customHeight="1">
      <c r="A272" s="23">
        <v>43108</v>
      </c>
      <c r="B272" s="23"/>
      <c r="C272" s="26">
        <f>ROUND(12.82725,4)</f>
        <v>12.8273</v>
      </c>
      <c r="D272" s="26">
        <f>F272</f>
        <v>12.8632</v>
      </c>
      <c r="E272" s="26">
        <f>F272</f>
        <v>12.8632</v>
      </c>
      <c r="F272" s="26">
        <f>ROUND(12.8632,4)</f>
        <v>12.8632</v>
      </c>
      <c r="G272" s="24"/>
      <c r="H272" s="25"/>
    </row>
    <row r="273" spans="1:8" ht="12.75" customHeight="1">
      <c r="A273" s="23">
        <v>43109</v>
      </c>
      <c r="B273" s="23"/>
      <c r="C273" s="26">
        <f>ROUND(12.82725,4)</f>
        <v>12.8273</v>
      </c>
      <c r="D273" s="26">
        <f>F273</f>
        <v>12.8653</v>
      </c>
      <c r="E273" s="26">
        <f>F273</f>
        <v>12.8653</v>
      </c>
      <c r="F273" s="26">
        <f>ROUND(12.8653,4)</f>
        <v>12.8653</v>
      </c>
      <c r="G273" s="24"/>
      <c r="H273" s="25"/>
    </row>
    <row r="274" spans="1:8" ht="12.75" customHeight="1">
      <c r="A274" s="23">
        <v>43110</v>
      </c>
      <c r="B274" s="23"/>
      <c r="C274" s="26">
        <f>ROUND(12.82725,4)</f>
        <v>12.8273</v>
      </c>
      <c r="D274" s="26">
        <f>F274</f>
        <v>12.8675</v>
      </c>
      <c r="E274" s="26">
        <f>F274</f>
        <v>12.8675</v>
      </c>
      <c r="F274" s="26">
        <f>ROUND(12.8675,4)</f>
        <v>12.8675</v>
      </c>
      <c r="G274" s="24"/>
      <c r="H274" s="25"/>
    </row>
    <row r="275" spans="1:8" ht="12.75" customHeight="1">
      <c r="A275" s="23">
        <v>43112</v>
      </c>
      <c r="B275" s="23"/>
      <c r="C275" s="26">
        <f>ROUND(12.82725,4)</f>
        <v>12.8273</v>
      </c>
      <c r="D275" s="26">
        <f>F275</f>
        <v>12.8718</v>
      </c>
      <c r="E275" s="26">
        <f>F275</f>
        <v>12.8718</v>
      </c>
      <c r="F275" s="26">
        <f>ROUND(12.8718,4)</f>
        <v>12.8718</v>
      </c>
      <c r="G275" s="24"/>
      <c r="H275" s="25"/>
    </row>
    <row r="276" spans="1:8" ht="12.75" customHeight="1">
      <c r="A276" s="23">
        <v>43115</v>
      </c>
      <c r="B276" s="23"/>
      <c r="C276" s="26">
        <f>ROUND(12.82725,4)</f>
        <v>12.8273</v>
      </c>
      <c r="D276" s="26">
        <f>F276</f>
        <v>12.8782</v>
      </c>
      <c r="E276" s="26">
        <f>F276</f>
        <v>12.8782</v>
      </c>
      <c r="F276" s="26">
        <f>ROUND(12.8782,4)</f>
        <v>12.8782</v>
      </c>
      <c r="G276" s="24"/>
      <c r="H276" s="25"/>
    </row>
    <row r="277" spans="1:8" ht="12.75" customHeight="1">
      <c r="A277" s="23">
        <v>43116</v>
      </c>
      <c r="B277" s="23"/>
      <c r="C277" s="26">
        <f>ROUND(12.82725,4)</f>
        <v>12.8273</v>
      </c>
      <c r="D277" s="26">
        <f>F277</f>
        <v>12.8804</v>
      </c>
      <c r="E277" s="26">
        <f>F277</f>
        <v>12.8804</v>
      </c>
      <c r="F277" s="26">
        <f>ROUND(12.8804,4)</f>
        <v>12.8804</v>
      </c>
      <c r="G277" s="24"/>
      <c r="H277" s="25"/>
    </row>
    <row r="278" spans="1:8" ht="12.75" customHeight="1">
      <c r="A278" s="23">
        <v>43118</v>
      </c>
      <c r="B278" s="23"/>
      <c r="C278" s="26">
        <f>ROUND(12.82725,4)</f>
        <v>12.8273</v>
      </c>
      <c r="D278" s="26">
        <f>F278</f>
        <v>12.8846</v>
      </c>
      <c r="E278" s="26">
        <f>F278</f>
        <v>12.8846</v>
      </c>
      <c r="F278" s="26">
        <f>ROUND(12.8846,4)</f>
        <v>12.8846</v>
      </c>
      <c r="G278" s="24"/>
      <c r="H278" s="25"/>
    </row>
    <row r="279" spans="1:8" ht="12.75" customHeight="1">
      <c r="A279" s="23">
        <v>43119</v>
      </c>
      <c r="B279" s="23"/>
      <c r="C279" s="26">
        <f>ROUND(12.82725,4)</f>
        <v>12.8273</v>
      </c>
      <c r="D279" s="26">
        <f>F279</f>
        <v>12.8868</v>
      </c>
      <c r="E279" s="26">
        <f>F279</f>
        <v>12.8868</v>
      </c>
      <c r="F279" s="26">
        <f>ROUND(12.8868,4)</f>
        <v>12.8868</v>
      </c>
      <c r="G279" s="24"/>
      <c r="H279" s="25"/>
    </row>
    <row r="280" spans="1:8" ht="12.75" customHeight="1">
      <c r="A280" s="23">
        <v>43125</v>
      </c>
      <c r="B280" s="23"/>
      <c r="C280" s="26">
        <f>ROUND(12.82725,4)</f>
        <v>12.8273</v>
      </c>
      <c r="D280" s="26">
        <f>F280</f>
        <v>12.8992</v>
      </c>
      <c r="E280" s="26">
        <f>F280</f>
        <v>12.8992</v>
      </c>
      <c r="F280" s="26">
        <f>ROUND(12.8992,4)</f>
        <v>12.8992</v>
      </c>
      <c r="G280" s="24"/>
      <c r="H280" s="25"/>
    </row>
    <row r="281" spans="1:8" ht="12.75" customHeight="1">
      <c r="A281" s="23">
        <v>43131</v>
      </c>
      <c r="B281" s="23"/>
      <c r="C281" s="26">
        <f>ROUND(12.82725,4)</f>
        <v>12.8273</v>
      </c>
      <c r="D281" s="26">
        <f>F281</f>
        <v>12.911</v>
      </c>
      <c r="E281" s="26">
        <f>F281</f>
        <v>12.911</v>
      </c>
      <c r="F281" s="26">
        <f>ROUND(12.911,4)</f>
        <v>12.911</v>
      </c>
      <c r="G281" s="24"/>
      <c r="H281" s="25"/>
    </row>
    <row r="282" spans="1:8" ht="12.75" customHeight="1">
      <c r="A282" s="23">
        <v>43132</v>
      </c>
      <c r="B282" s="23"/>
      <c r="C282" s="26">
        <f>ROUND(12.82725,4)</f>
        <v>12.8273</v>
      </c>
      <c r="D282" s="26">
        <f>F282</f>
        <v>12.913</v>
      </c>
      <c r="E282" s="26">
        <f>F282</f>
        <v>12.913</v>
      </c>
      <c r="F282" s="26">
        <f>ROUND(12.913,4)</f>
        <v>12.913</v>
      </c>
      <c r="G282" s="24"/>
      <c r="H282" s="25"/>
    </row>
    <row r="283" spans="1:8" ht="12.75" customHeight="1">
      <c r="A283" s="23">
        <v>43137</v>
      </c>
      <c r="B283" s="23"/>
      <c r="C283" s="26">
        <f>ROUND(12.82725,4)</f>
        <v>12.8273</v>
      </c>
      <c r="D283" s="26">
        <f>F283</f>
        <v>12.9229</v>
      </c>
      <c r="E283" s="26">
        <f>F283</f>
        <v>12.9229</v>
      </c>
      <c r="F283" s="26">
        <f>ROUND(12.9229,4)</f>
        <v>12.9229</v>
      </c>
      <c r="G283" s="24"/>
      <c r="H283" s="25"/>
    </row>
    <row r="284" spans="1:8" ht="12.75" customHeight="1">
      <c r="A284" s="23">
        <v>43139</v>
      </c>
      <c r="B284" s="23"/>
      <c r="C284" s="26">
        <f>ROUND(12.82725,4)</f>
        <v>12.8273</v>
      </c>
      <c r="D284" s="26">
        <f>F284</f>
        <v>12.9269</v>
      </c>
      <c r="E284" s="26">
        <f>F284</f>
        <v>12.9269</v>
      </c>
      <c r="F284" s="26">
        <f>ROUND(12.9269,4)</f>
        <v>12.9269</v>
      </c>
      <c r="G284" s="24"/>
      <c r="H284" s="25"/>
    </row>
    <row r="285" spans="1:8" ht="12.75" customHeight="1">
      <c r="A285" s="23">
        <v>43143</v>
      </c>
      <c r="B285" s="23"/>
      <c r="C285" s="26">
        <f>ROUND(12.82725,4)</f>
        <v>12.8273</v>
      </c>
      <c r="D285" s="26">
        <f>F285</f>
        <v>12.9348</v>
      </c>
      <c r="E285" s="26">
        <f>F285</f>
        <v>12.9348</v>
      </c>
      <c r="F285" s="26">
        <f>ROUND(12.9348,4)</f>
        <v>12.9348</v>
      </c>
      <c r="G285" s="24"/>
      <c r="H285" s="25"/>
    </row>
    <row r="286" spans="1:8" ht="12.75" customHeight="1">
      <c r="A286" s="23">
        <v>43144</v>
      </c>
      <c r="B286" s="23"/>
      <c r="C286" s="26">
        <f>ROUND(12.82725,4)</f>
        <v>12.8273</v>
      </c>
      <c r="D286" s="26">
        <f>F286</f>
        <v>12.9368</v>
      </c>
      <c r="E286" s="26">
        <f>F286</f>
        <v>12.9368</v>
      </c>
      <c r="F286" s="26">
        <f>ROUND(12.9368,4)</f>
        <v>12.9368</v>
      </c>
      <c r="G286" s="24"/>
      <c r="H286" s="25"/>
    </row>
    <row r="287" spans="1:8" ht="12.75" customHeight="1">
      <c r="A287" s="23">
        <v>43146</v>
      </c>
      <c r="B287" s="23"/>
      <c r="C287" s="26">
        <f>ROUND(12.82725,4)</f>
        <v>12.8273</v>
      </c>
      <c r="D287" s="26">
        <f>F287</f>
        <v>12.9407</v>
      </c>
      <c r="E287" s="26">
        <f>F287</f>
        <v>12.9407</v>
      </c>
      <c r="F287" s="26">
        <f>ROUND(12.9407,4)</f>
        <v>12.9407</v>
      </c>
      <c r="G287" s="24"/>
      <c r="H287" s="25"/>
    </row>
    <row r="288" spans="1:8" ht="12.75" customHeight="1">
      <c r="A288" s="23">
        <v>43147</v>
      </c>
      <c r="B288" s="23"/>
      <c r="C288" s="26">
        <f>ROUND(12.82725,4)</f>
        <v>12.8273</v>
      </c>
      <c r="D288" s="26">
        <f>F288</f>
        <v>12.9427</v>
      </c>
      <c r="E288" s="26">
        <f>F288</f>
        <v>12.9427</v>
      </c>
      <c r="F288" s="26">
        <f>ROUND(12.9427,4)</f>
        <v>12.9427</v>
      </c>
      <c r="G288" s="24"/>
      <c r="H288" s="25"/>
    </row>
    <row r="289" spans="1:8" ht="12.75" customHeight="1">
      <c r="A289" s="23">
        <v>43159</v>
      </c>
      <c r="B289" s="23"/>
      <c r="C289" s="26">
        <f>ROUND(12.82725,4)</f>
        <v>12.8273</v>
      </c>
      <c r="D289" s="26">
        <f>F289</f>
        <v>12.9662</v>
      </c>
      <c r="E289" s="26">
        <f>F289</f>
        <v>12.9662</v>
      </c>
      <c r="F289" s="26">
        <f>ROUND(12.9662,4)</f>
        <v>12.9662</v>
      </c>
      <c r="G289" s="24"/>
      <c r="H289" s="25"/>
    </row>
    <row r="290" spans="1:8" ht="12.75" customHeight="1">
      <c r="A290" s="23">
        <v>43160</v>
      </c>
      <c r="B290" s="23"/>
      <c r="C290" s="26">
        <f>ROUND(12.82725,4)</f>
        <v>12.8273</v>
      </c>
      <c r="D290" s="26">
        <f>F290</f>
        <v>12.9681</v>
      </c>
      <c r="E290" s="26">
        <f>F290</f>
        <v>12.9681</v>
      </c>
      <c r="F290" s="26">
        <f>ROUND(12.9681,4)</f>
        <v>12.9681</v>
      </c>
      <c r="G290" s="24"/>
      <c r="H290" s="25"/>
    </row>
    <row r="291" spans="1:8" ht="12.75" customHeight="1">
      <c r="A291" s="23">
        <v>43161</v>
      </c>
      <c r="B291" s="23"/>
      <c r="C291" s="26">
        <f>ROUND(12.82725,4)</f>
        <v>12.8273</v>
      </c>
      <c r="D291" s="26">
        <f>F291</f>
        <v>12.9701</v>
      </c>
      <c r="E291" s="26">
        <f>F291</f>
        <v>12.9701</v>
      </c>
      <c r="F291" s="26">
        <f>ROUND(12.9701,4)</f>
        <v>12.9701</v>
      </c>
      <c r="G291" s="24"/>
      <c r="H291" s="25"/>
    </row>
    <row r="292" spans="1:8" ht="12.75" customHeight="1">
      <c r="A292" s="23">
        <v>43174</v>
      </c>
      <c r="B292" s="23"/>
      <c r="C292" s="26">
        <f>ROUND(12.82725,4)</f>
        <v>12.8273</v>
      </c>
      <c r="D292" s="26">
        <f>F292</f>
        <v>12.9954</v>
      </c>
      <c r="E292" s="26">
        <f>F292</f>
        <v>12.9954</v>
      </c>
      <c r="F292" s="26">
        <f>ROUND(12.9954,4)</f>
        <v>12.9954</v>
      </c>
      <c r="G292" s="24"/>
      <c r="H292" s="25"/>
    </row>
    <row r="293" spans="1:8" ht="12.75" customHeight="1">
      <c r="A293" s="23">
        <v>43188</v>
      </c>
      <c r="B293" s="23"/>
      <c r="C293" s="26">
        <f>ROUND(12.82725,4)</f>
        <v>12.8273</v>
      </c>
      <c r="D293" s="26">
        <f>F293</f>
        <v>13.0228</v>
      </c>
      <c r="E293" s="26">
        <f>F293</f>
        <v>13.0228</v>
      </c>
      <c r="F293" s="26">
        <f>ROUND(13.0228,4)</f>
        <v>13.0228</v>
      </c>
      <c r="G293" s="24"/>
      <c r="H293" s="25"/>
    </row>
    <row r="294" spans="1:8" ht="12.75" customHeight="1">
      <c r="A294" s="23">
        <v>43214</v>
      </c>
      <c r="B294" s="23"/>
      <c r="C294" s="26">
        <f>ROUND(12.82725,4)</f>
        <v>12.8273</v>
      </c>
      <c r="D294" s="26">
        <f>F294</f>
        <v>13.0741</v>
      </c>
      <c r="E294" s="26">
        <f>F294</f>
        <v>13.0741</v>
      </c>
      <c r="F294" s="26">
        <f>ROUND(13.0741,4)</f>
        <v>13.0741</v>
      </c>
      <c r="G294" s="24"/>
      <c r="H294" s="25"/>
    </row>
    <row r="295" spans="1:8" ht="12.75" customHeight="1">
      <c r="A295" s="23">
        <v>43215</v>
      </c>
      <c r="B295" s="23"/>
      <c r="C295" s="26">
        <f>ROUND(12.82725,4)</f>
        <v>12.8273</v>
      </c>
      <c r="D295" s="26">
        <f>F295</f>
        <v>13.0761</v>
      </c>
      <c r="E295" s="26">
        <f>F295</f>
        <v>13.0761</v>
      </c>
      <c r="F295" s="26">
        <f>ROUND(13.0761,4)</f>
        <v>13.0761</v>
      </c>
      <c r="G295" s="24"/>
      <c r="H295" s="25"/>
    </row>
    <row r="296" spans="1:8" ht="12.75" customHeight="1">
      <c r="A296" s="23">
        <v>43220</v>
      </c>
      <c r="B296" s="23"/>
      <c r="C296" s="26">
        <f>ROUND(12.82725,4)</f>
        <v>12.8273</v>
      </c>
      <c r="D296" s="26">
        <f>F296</f>
        <v>13.0859</v>
      </c>
      <c r="E296" s="26">
        <f>F296</f>
        <v>13.0859</v>
      </c>
      <c r="F296" s="26">
        <f>ROUND(13.0859,4)</f>
        <v>13.0859</v>
      </c>
      <c r="G296" s="24"/>
      <c r="H296" s="25"/>
    </row>
    <row r="297" spans="1:8" ht="12.75" customHeight="1">
      <c r="A297" s="23">
        <v>43229</v>
      </c>
      <c r="B297" s="23"/>
      <c r="C297" s="26">
        <f>ROUND(12.82725,4)</f>
        <v>12.8273</v>
      </c>
      <c r="D297" s="26">
        <f>F297</f>
        <v>13.1037</v>
      </c>
      <c r="E297" s="26">
        <f>F297</f>
        <v>13.1037</v>
      </c>
      <c r="F297" s="26">
        <f>ROUND(13.1037,4)</f>
        <v>13.1037</v>
      </c>
      <c r="G297" s="24"/>
      <c r="H297" s="25"/>
    </row>
    <row r="298" spans="1:8" ht="12.75" customHeight="1">
      <c r="A298" s="23">
        <v>43231</v>
      </c>
      <c r="B298" s="23"/>
      <c r="C298" s="26">
        <f>ROUND(12.82725,4)</f>
        <v>12.8273</v>
      </c>
      <c r="D298" s="26">
        <f>F298</f>
        <v>13.1076</v>
      </c>
      <c r="E298" s="26">
        <f>F298</f>
        <v>13.1076</v>
      </c>
      <c r="F298" s="26">
        <f>ROUND(13.1076,4)</f>
        <v>13.1076</v>
      </c>
      <c r="G298" s="24"/>
      <c r="H298" s="25"/>
    </row>
    <row r="299" spans="1:8" ht="12.75" customHeight="1">
      <c r="A299" s="23">
        <v>43234</v>
      </c>
      <c r="B299" s="23"/>
      <c r="C299" s="26">
        <f>ROUND(12.82725,4)</f>
        <v>12.8273</v>
      </c>
      <c r="D299" s="26">
        <f>F299</f>
        <v>13.1135</v>
      </c>
      <c r="E299" s="26">
        <f>F299</f>
        <v>13.1135</v>
      </c>
      <c r="F299" s="26">
        <f>ROUND(13.1135,4)</f>
        <v>13.1135</v>
      </c>
      <c r="G299" s="24"/>
      <c r="H299" s="25"/>
    </row>
    <row r="300" spans="1:8" ht="12.75" customHeight="1">
      <c r="A300" s="23">
        <v>43235</v>
      </c>
      <c r="B300" s="23"/>
      <c r="C300" s="26">
        <f>ROUND(12.82725,4)</f>
        <v>12.8273</v>
      </c>
      <c r="D300" s="26">
        <f>F300</f>
        <v>13.1155</v>
      </c>
      <c r="E300" s="26">
        <f>F300</f>
        <v>13.1155</v>
      </c>
      <c r="F300" s="26">
        <f>ROUND(13.1155,4)</f>
        <v>13.1155</v>
      </c>
      <c r="G300" s="24"/>
      <c r="H300" s="25"/>
    </row>
    <row r="301" spans="1:8" ht="12.75" customHeight="1">
      <c r="A301" s="23">
        <v>43251</v>
      </c>
      <c r="B301" s="23"/>
      <c r="C301" s="26">
        <f>ROUND(12.82725,4)</f>
        <v>12.8273</v>
      </c>
      <c r="D301" s="26">
        <f>F301</f>
        <v>13.1471</v>
      </c>
      <c r="E301" s="26">
        <f>F301</f>
        <v>13.1471</v>
      </c>
      <c r="F301" s="26">
        <f>ROUND(13.1471,4)</f>
        <v>13.1471</v>
      </c>
      <c r="G301" s="24"/>
      <c r="H301" s="25"/>
    </row>
    <row r="302" spans="1:8" ht="12.75" customHeight="1">
      <c r="A302" s="23">
        <v>43280</v>
      </c>
      <c r="B302" s="23"/>
      <c r="C302" s="26">
        <f>ROUND(12.82725,4)</f>
        <v>12.8273</v>
      </c>
      <c r="D302" s="26">
        <f>F302</f>
        <v>13.2045</v>
      </c>
      <c r="E302" s="26">
        <f>F302</f>
        <v>13.2045</v>
      </c>
      <c r="F302" s="26">
        <f>ROUND(13.2045,4)</f>
        <v>13.2045</v>
      </c>
      <c r="G302" s="24"/>
      <c r="H302" s="25"/>
    </row>
    <row r="303" spans="1:8" ht="12.75" customHeight="1">
      <c r="A303" s="23">
        <v>43283</v>
      </c>
      <c r="B303" s="23"/>
      <c r="C303" s="26">
        <f>ROUND(12.82725,4)</f>
        <v>12.8273</v>
      </c>
      <c r="D303" s="26">
        <f>F303</f>
        <v>13.2105</v>
      </c>
      <c r="E303" s="26">
        <f>F303</f>
        <v>13.2105</v>
      </c>
      <c r="F303" s="26">
        <f>ROUND(13.2105,4)</f>
        <v>13.2105</v>
      </c>
      <c r="G303" s="24"/>
      <c r="H303" s="25"/>
    </row>
    <row r="304" spans="1:8" ht="12.75" customHeight="1">
      <c r="A304" s="23">
        <v>43301</v>
      </c>
      <c r="B304" s="23"/>
      <c r="C304" s="26">
        <f>ROUND(12.82725,4)</f>
        <v>12.8273</v>
      </c>
      <c r="D304" s="26">
        <f>F304</f>
        <v>13.2464</v>
      </c>
      <c r="E304" s="26">
        <f>F304</f>
        <v>13.2464</v>
      </c>
      <c r="F304" s="26">
        <f>ROUND(13.2464,4)</f>
        <v>13.2464</v>
      </c>
      <c r="G304" s="24"/>
      <c r="H304" s="25"/>
    </row>
    <row r="305" spans="1:8" ht="12.75" customHeight="1">
      <c r="A305" s="23">
        <v>43305</v>
      </c>
      <c r="B305" s="23"/>
      <c r="C305" s="26">
        <f>ROUND(12.82725,4)</f>
        <v>12.8273</v>
      </c>
      <c r="D305" s="26">
        <f>F305</f>
        <v>13.2544</v>
      </c>
      <c r="E305" s="26">
        <f>F305</f>
        <v>13.2544</v>
      </c>
      <c r="F305" s="26">
        <f>ROUND(13.2544,4)</f>
        <v>13.2544</v>
      </c>
      <c r="G305" s="24"/>
      <c r="H305" s="25"/>
    </row>
    <row r="306" spans="1:8" ht="12.75" customHeight="1">
      <c r="A306" s="23">
        <v>43306</v>
      </c>
      <c r="B306" s="23"/>
      <c r="C306" s="26">
        <f>ROUND(12.82725,4)</f>
        <v>12.8273</v>
      </c>
      <c r="D306" s="26">
        <f>F306</f>
        <v>13.2564</v>
      </c>
      <c r="E306" s="26">
        <f>F306</f>
        <v>13.2564</v>
      </c>
      <c r="F306" s="26">
        <f>ROUND(13.2564,4)</f>
        <v>13.2564</v>
      </c>
      <c r="G306" s="24"/>
      <c r="H306" s="25"/>
    </row>
    <row r="307" spans="1:8" ht="12.75" customHeight="1">
      <c r="A307" s="23">
        <v>43312</v>
      </c>
      <c r="B307" s="23"/>
      <c r="C307" s="26">
        <f>ROUND(12.82725,4)</f>
        <v>12.8273</v>
      </c>
      <c r="D307" s="26">
        <f>F307</f>
        <v>13.2683</v>
      </c>
      <c r="E307" s="26">
        <f>F307</f>
        <v>13.2683</v>
      </c>
      <c r="F307" s="26">
        <f>ROUND(13.2683,4)</f>
        <v>13.2683</v>
      </c>
      <c r="G307" s="24"/>
      <c r="H307" s="25"/>
    </row>
    <row r="308" spans="1:8" ht="12.75" customHeight="1">
      <c r="A308" s="23">
        <v>43319</v>
      </c>
      <c r="B308" s="23"/>
      <c r="C308" s="26">
        <f>ROUND(12.82725,4)</f>
        <v>12.8273</v>
      </c>
      <c r="D308" s="26">
        <f>F308</f>
        <v>13.2823</v>
      </c>
      <c r="E308" s="26">
        <f>F308</f>
        <v>13.2823</v>
      </c>
      <c r="F308" s="26">
        <f>ROUND(13.2823,4)</f>
        <v>13.2823</v>
      </c>
      <c r="G308" s="24"/>
      <c r="H308" s="25"/>
    </row>
    <row r="309" spans="1:8" ht="12.75" customHeight="1">
      <c r="A309" s="23">
        <v>43325</v>
      </c>
      <c r="B309" s="23"/>
      <c r="C309" s="26">
        <f>ROUND(12.82725,4)</f>
        <v>12.8273</v>
      </c>
      <c r="D309" s="26">
        <f>F309</f>
        <v>13.2943</v>
      </c>
      <c r="E309" s="26">
        <f>F309</f>
        <v>13.2943</v>
      </c>
      <c r="F309" s="26">
        <f>ROUND(13.2943,4)</f>
        <v>13.2943</v>
      </c>
      <c r="G309" s="24"/>
      <c r="H309" s="25"/>
    </row>
    <row r="310" spans="1:8" ht="12.75" customHeight="1">
      <c r="A310" s="23">
        <v>43343</v>
      </c>
      <c r="B310" s="23"/>
      <c r="C310" s="26">
        <f>ROUND(12.82725,4)</f>
        <v>12.8273</v>
      </c>
      <c r="D310" s="26">
        <f>F310</f>
        <v>13.3302</v>
      </c>
      <c r="E310" s="26">
        <f>F310</f>
        <v>13.3302</v>
      </c>
      <c r="F310" s="26">
        <f>ROUND(13.3302,4)</f>
        <v>13.3302</v>
      </c>
      <c r="G310" s="24"/>
      <c r="H310" s="25"/>
    </row>
    <row r="311" spans="1:8" ht="12.75" customHeight="1">
      <c r="A311" s="23">
        <v>43371</v>
      </c>
      <c r="B311" s="23"/>
      <c r="C311" s="26">
        <f>ROUND(12.82725,4)</f>
        <v>12.8273</v>
      </c>
      <c r="D311" s="26">
        <f>F311</f>
        <v>13.3864</v>
      </c>
      <c r="E311" s="26">
        <f>F311</f>
        <v>13.3864</v>
      </c>
      <c r="F311" s="26">
        <f>ROUND(13.3864,4)</f>
        <v>13.3864</v>
      </c>
      <c r="G311" s="24"/>
      <c r="H311" s="25"/>
    </row>
    <row r="312" spans="1:8" ht="12.75" customHeight="1">
      <c r="A312" s="23">
        <v>43398</v>
      </c>
      <c r="B312" s="23"/>
      <c r="C312" s="26">
        <f>ROUND(12.82725,4)</f>
        <v>12.8273</v>
      </c>
      <c r="D312" s="26">
        <f>F312</f>
        <v>13.4414</v>
      </c>
      <c r="E312" s="26">
        <f>F312</f>
        <v>13.4414</v>
      </c>
      <c r="F312" s="26">
        <f>ROUND(13.4414,4)</f>
        <v>13.4414</v>
      </c>
      <c r="G312" s="24"/>
      <c r="H312" s="25"/>
    </row>
    <row r="313" spans="1:8" ht="12.75" customHeight="1">
      <c r="A313" s="23">
        <v>43402</v>
      </c>
      <c r="B313" s="23"/>
      <c r="C313" s="26">
        <f>ROUND(12.82725,4)</f>
        <v>12.8273</v>
      </c>
      <c r="D313" s="26">
        <f>F313</f>
        <v>13.4496</v>
      </c>
      <c r="E313" s="26">
        <f>F313</f>
        <v>13.4496</v>
      </c>
      <c r="F313" s="26">
        <f>ROUND(13.4496,4)</f>
        <v>13.4496</v>
      </c>
      <c r="G313" s="24"/>
      <c r="H313" s="25"/>
    </row>
    <row r="314" spans="1:8" ht="12.75" customHeight="1">
      <c r="A314" s="23">
        <v>43404</v>
      </c>
      <c r="B314" s="23"/>
      <c r="C314" s="26">
        <f>ROUND(12.82725,4)</f>
        <v>12.8273</v>
      </c>
      <c r="D314" s="26">
        <f>F314</f>
        <v>13.4537</v>
      </c>
      <c r="E314" s="26">
        <f>F314</f>
        <v>13.4537</v>
      </c>
      <c r="F314" s="26">
        <f>ROUND(13.4537,4)</f>
        <v>13.4537</v>
      </c>
      <c r="G314" s="24"/>
      <c r="H314" s="25"/>
    </row>
    <row r="315" spans="1:8" ht="12.75" customHeight="1">
      <c r="A315" s="23">
        <v>43409</v>
      </c>
      <c r="B315" s="23"/>
      <c r="C315" s="26">
        <f>ROUND(12.82725,4)</f>
        <v>12.8273</v>
      </c>
      <c r="D315" s="26">
        <f>F315</f>
        <v>13.4638</v>
      </c>
      <c r="E315" s="26">
        <f>F315</f>
        <v>13.4638</v>
      </c>
      <c r="F315" s="26">
        <f>ROUND(13.4638,4)</f>
        <v>13.4638</v>
      </c>
      <c r="G315" s="24"/>
      <c r="H315" s="25"/>
    </row>
    <row r="316" spans="1:8" ht="12.75" customHeight="1">
      <c r="A316" s="23">
        <v>43417</v>
      </c>
      <c r="B316" s="23"/>
      <c r="C316" s="26">
        <f>ROUND(12.82725,4)</f>
        <v>12.8273</v>
      </c>
      <c r="D316" s="26">
        <f>F316</f>
        <v>13.4801</v>
      </c>
      <c r="E316" s="26">
        <f>F316</f>
        <v>13.4801</v>
      </c>
      <c r="F316" s="26">
        <f>ROUND(13.4801,4)</f>
        <v>13.4801</v>
      </c>
      <c r="G316" s="24"/>
      <c r="H316" s="25"/>
    </row>
    <row r="317" spans="1:8" ht="12.75" customHeight="1">
      <c r="A317" s="23">
        <v>43434</v>
      </c>
      <c r="B317" s="23"/>
      <c r="C317" s="26">
        <f>ROUND(12.82725,4)</f>
        <v>12.8273</v>
      </c>
      <c r="D317" s="26">
        <f>F317</f>
        <v>13.5148</v>
      </c>
      <c r="E317" s="26">
        <f>F317</f>
        <v>13.5148</v>
      </c>
      <c r="F317" s="26">
        <f>ROUND(13.5148,4)</f>
        <v>13.5148</v>
      </c>
      <c r="G317" s="24"/>
      <c r="H317" s="25"/>
    </row>
    <row r="318" spans="1:8" ht="12.75" customHeight="1">
      <c r="A318" s="23">
        <v>43445</v>
      </c>
      <c r="B318" s="23"/>
      <c r="C318" s="26">
        <f>ROUND(12.82725,4)</f>
        <v>12.8273</v>
      </c>
      <c r="D318" s="26">
        <f>F318</f>
        <v>13.5372</v>
      </c>
      <c r="E318" s="26">
        <f>F318</f>
        <v>13.5372</v>
      </c>
      <c r="F318" s="26">
        <f>ROUND(13.5372,4)</f>
        <v>13.5372</v>
      </c>
      <c r="G318" s="24"/>
      <c r="H318" s="25"/>
    </row>
    <row r="319" spans="1:8" ht="12.75" customHeight="1">
      <c r="A319" s="23">
        <v>43465</v>
      </c>
      <c r="B319" s="23"/>
      <c r="C319" s="26">
        <f>ROUND(12.82725,4)</f>
        <v>12.8273</v>
      </c>
      <c r="D319" s="26">
        <f>F319</f>
        <v>13.5792</v>
      </c>
      <c r="E319" s="26">
        <f>F319</f>
        <v>13.5792</v>
      </c>
      <c r="F319" s="26">
        <f>ROUND(13.5792,4)</f>
        <v>13.5792</v>
      </c>
      <c r="G319" s="24"/>
      <c r="H319" s="25"/>
    </row>
    <row r="320" spans="1:8" ht="12.75" customHeight="1">
      <c r="A320" s="23">
        <v>43509</v>
      </c>
      <c r="B320" s="23"/>
      <c r="C320" s="26">
        <f>ROUND(12.82725,4)</f>
        <v>12.8273</v>
      </c>
      <c r="D320" s="26">
        <f>F320</f>
        <v>13.6741</v>
      </c>
      <c r="E320" s="26">
        <f>F320</f>
        <v>13.6741</v>
      </c>
      <c r="F320" s="26">
        <f>ROUND(13.6741,4)</f>
        <v>13.6741</v>
      </c>
      <c r="G320" s="24"/>
      <c r="H320" s="25"/>
    </row>
    <row r="321" spans="1:8" ht="12.75" customHeight="1">
      <c r="A321" s="23">
        <v>44040</v>
      </c>
      <c r="B321" s="23"/>
      <c r="C321" s="26">
        <f>ROUND(12.82725,4)</f>
        <v>12.8273</v>
      </c>
      <c r="D321" s="26">
        <f>F321</f>
        <v>14.892</v>
      </c>
      <c r="E321" s="26">
        <f>F321</f>
        <v>14.892</v>
      </c>
      <c r="F321" s="26">
        <f>ROUND(14.892,4)</f>
        <v>14.892</v>
      </c>
      <c r="G321" s="24"/>
      <c r="H321" s="25"/>
    </row>
    <row r="322" spans="1:8" ht="12.75" customHeight="1">
      <c r="A322" s="23" t="s">
        <v>65</v>
      </c>
      <c r="B322" s="23"/>
      <c r="C322" s="28"/>
      <c r="D322" s="28"/>
      <c r="E322" s="28"/>
      <c r="F322" s="28"/>
      <c r="G322" s="24"/>
      <c r="H322" s="25"/>
    </row>
    <row r="323" spans="1:8" ht="12.75" customHeight="1">
      <c r="A323" s="23">
        <v>43087</v>
      </c>
      <c r="B323" s="23"/>
      <c r="C323" s="26">
        <f>ROUND(1.18083,4)</f>
        <v>1.1808</v>
      </c>
      <c r="D323" s="26">
        <f>F323</f>
        <v>1.1808</v>
      </c>
      <c r="E323" s="26">
        <f>F323</f>
        <v>1.1808</v>
      </c>
      <c r="F323" s="26">
        <f>ROUND(1.1808,4)</f>
        <v>1.1808</v>
      </c>
      <c r="G323" s="24"/>
      <c r="H323" s="25"/>
    </row>
    <row r="324" spans="1:8" ht="12.75" customHeight="1">
      <c r="A324" s="23">
        <v>43178</v>
      </c>
      <c r="B324" s="23"/>
      <c r="C324" s="26">
        <f>ROUND(1.18083,4)</f>
        <v>1.1808</v>
      </c>
      <c r="D324" s="26">
        <f>F324</f>
        <v>1.189</v>
      </c>
      <c r="E324" s="26">
        <f>F324</f>
        <v>1.189</v>
      </c>
      <c r="F324" s="26">
        <f>ROUND(1.189,4)</f>
        <v>1.189</v>
      </c>
      <c r="G324" s="24"/>
      <c r="H324" s="25"/>
    </row>
    <row r="325" spans="1:8" ht="12.75" customHeight="1">
      <c r="A325" s="23">
        <v>43269</v>
      </c>
      <c r="B325" s="23"/>
      <c r="C325" s="26">
        <f>ROUND(1.18083,4)</f>
        <v>1.1808</v>
      </c>
      <c r="D325" s="26">
        <f>F325</f>
        <v>1.1963</v>
      </c>
      <c r="E325" s="26">
        <f>F325</f>
        <v>1.1963</v>
      </c>
      <c r="F325" s="26">
        <f>ROUND(1.1963,4)</f>
        <v>1.1963</v>
      </c>
      <c r="G325" s="24"/>
      <c r="H325" s="25"/>
    </row>
    <row r="326" spans="1:8" ht="12.75" customHeight="1">
      <c r="A326" s="23">
        <v>43360</v>
      </c>
      <c r="B326" s="23"/>
      <c r="C326" s="26">
        <f>ROUND(1.18083,4)</f>
        <v>1.1808</v>
      </c>
      <c r="D326" s="26">
        <f>F326</f>
        <v>1.2038</v>
      </c>
      <c r="E326" s="26">
        <f>F326</f>
        <v>1.2038</v>
      </c>
      <c r="F326" s="26">
        <f>ROUND(1.2038,4)</f>
        <v>1.2038</v>
      </c>
      <c r="G326" s="24"/>
      <c r="H326" s="25"/>
    </row>
    <row r="327" spans="1:8" ht="12.75" customHeight="1">
      <c r="A327" s="23" t="s">
        <v>66</v>
      </c>
      <c r="B327" s="23"/>
      <c r="C327" s="28"/>
      <c r="D327" s="28"/>
      <c r="E327" s="28"/>
      <c r="F327" s="28"/>
      <c r="G327" s="24"/>
      <c r="H327" s="25"/>
    </row>
    <row r="328" spans="1:8" ht="12.75" customHeight="1">
      <c r="A328" s="23">
        <v>43087</v>
      </c>
      <c r="B328" s="23"/>
      <c r="C328" s="26">
        <f>ROUND(1.341085,4)</f>
        <v>1.3411</v>
      </c>
      <c r="D328" s="26">
        <f>F328</f>
        <v>1.3411</v>
      </c>
      <c r="E328" s="26">
        <f>F328</f>
        <v>1.3411</v>
      </c>
      <c r="F328" s="26">
        <f>ROUND(1.3411,4)</f>
        <v>1.3411</v>
      </c>
      <c r="G328" s="24"/>
      <c r="H328" s="25"/>
    </row>
    <row r="329" spans="1:8" ht="12.75" customHeight="1">
      <c r="A329" s="23">
        <v>43178</v>
      </c>
      <c r="B329" s="23"/>
      <c r="C329" s="26">
        <f>ROUND(1.341085,4)</f>
        <v>1.3411</v>
      </c>
      <c r="D329" s="26">
        <f>F329</f>
        <v>1.3469</v>
      </c>
      <c r="E329" s="26">
        <f>F329</f>
        <v>1.3469</v>
      </c>
      <c r="F329" s="26">
        <f>ROUND(1.3469,4)</f>
        <v>1.3469</v>
      </c>
      <c r="G329" s="24"/>
      <c r="H329" s="25"/>
    </row>
    <row r="330" spans="1:8" ht="12.75" customHeight="1">
      <c r="A330" s="23">
        <v>43269</v>
      </c>
      <c r="B330" s="23"/>
      <c r="C330" s="26">
        <f>ROUND(1.341085,4)</f>
        <v>1.3411</v>
      </c>
      <c r="D330" s="26">
        <f>F330</f>
        <v>1.3515</v>
      </c>
      <c r="E330" s="26">
        <f>F330</f>
        <v>1.3515</v>
      </c>
      <c r="F330" s="26">
        <f>ROUND(1.3515,4)</f>
        <v>1.3515</v>
      </c>
      <c r="G330" s="24"/>
      <c r="H330" s="25"/>
    </row>
    <row r="331" spans="1:8" ht="12.75" customHeight="1">
      <c r="A331" s="23">
        <v>43360</v>
      </c>
      <c r="B331" s="23"/>
      <c r="C331" s="26">
        <f>ROUND(1.341085,4)</f>
        <v>1.3411</v>
      </c>
      <c r="D331" s="26">
        <f>F331</f>
        <v>1.3561</v>
      </c>
      <c r="E331" s="26">
        <f>F331</f>
        <v>1.3561</v>
      </c>
      <c r="F331" s="26">
        <f>ROUND(1.3561,4)</f>
        <v>1.3561</v>
      </c>
      <c r="G331" s="24"/>
      <c r="H331" s="25"/>
    </row>
    <row r="332" spans="1:8" ht="12.75" customHeight="1">
      <c r="A332" s="23" t="s">
        <v>67</v>
      </c>
      <c r="B332" s="23"/>
      <c r="C332" s="28"/>
      <c r="D332" s="28"/>
      <c r="E332" s="28"/>
      <c r="F332" s="28"/>
      <c r="G332" s="24"/>
      <c r="H332" s="25"/>
    </row>
    <row r="333" spans="1:8" ht="12.75" customHeight="1">
      <c r="A333" s="23">
        <v>43087</v>
      </c>
      <c r="B333" s="23"/>
      <c r="C333" s="26">
        <f>ROUND(9.83676907125,4)</f>
        <v>9.8368</v>
      </c>
      <c r="D333" s="26">
        <f>F333</f>
        <v>9.8368</v>
      </c>
      <c r="E333" s="26">
        <f>F333</f>
        <v>9.8368</v>
      </c>
      <c r="F333" s="26">
        <f>ROUND(9.8368,4)</f>
        <v>9.8368</v>
      </c>
      <c r="G333" s="24"/>
      <c r="H333" s="25"/>
    </row>
    <row r="334" spans="1:8" ht="12.75" customHeight="1">
      <c r="A334" s="23">
        <v>43178</v>
      </c>
      <c r="B334" s="23"/>
      <c r="C334" s="26">
        <f>ROUND(9.83676907125,4)</f>
        <v>9.8368</v>
      </c>
      <c r="D334" s="26">
        <f>F334</f>
        <v>9.9677</v>
      </c>
      <c r="E334" s="26">
        <f>F334</f>
        <v>9.9677</v>
      </c>
      <c r="F334" s="26">
        <f>ROUND(9.9677,4)</f>
        <v>9.9677</v>
      </c>
      <c r="G334" s="24"/>
      <c r="H334" s="25"/>
    </row>
    <row r="335" spans="1:8" ht="12.75" customHeight="1">
      <c r="A335" s="23">
        <v>43269</v>
      </c>
      <c r="B335" s="23"/>
      <c r="C335" s="26">
        <f>ROUND(9.83676907125,4)</f>
        <v>9.8368</v>
      </c>
      <c r="D335" s="26">
        <f>F335</f>
        <v>10.1034</v>
      </c>
      <c r="E335" s="26">
        <f>F335</f>
        <v>10.1034</v>
      </c>
      <c r="F335" s="26">
        <f>ROUND(10.1034,4)</f>
        <v>10.1034</v>
      </c>
      <c r="G335" s="24"/>
      <c r="H335" s="25"/>
    </row>
    <row r="336" spans="1:8" ht="12.75" customHeight="1">
      <c r="A336" s="23">
        <v>43360</v>
      </c>
      <c r="B336" s="23"/>
      <c r="C336" s="26">
        <f>ROUND(9.83676907125,4)</f>
        <v>9.8368</v>
      </c>
      <c r="D336" s="26">
        <f>F336</f>
        <v>10.2422</v>
      </c>
      <c r="E336" s="26">
        <f>F336</f>
        <v>10.2422</v>
      </c>
      <c r="F336" s="26">
        <f>ROUND(10.2422,4)</f>
        <v>10.2422</v>
      </c>
      <c r="G336" s="24"/>
      <c r="H336" s="25"/>
    </row>
    <row r="337" spans="1:8" ht="12.75" customHeight="1">
      <c r="A337" s="23">
        <v>43448</v>
      </c>
      <c r="B337" s="23"/>
      <c r="C337" s="26">
        <f>ROUND(9.83676907125,4)</f>
        <v>9.8368</v>
      </c>
      <c r="D337" s="26">
        <f>F337</f>
        <v>10.3788</v>
      </c>
      <c r="E337" s="26">
        <f>F337</f>
        <v>10.3788</v>
      </c>
      <c r="F337" s="26">
        <f>ROUND(10.3788,4)</f>
        <v>10.3788</v>
      </c>
      <c r="G337" s="24"/>
      <c r="H337" s="25"/>
    </row>
    <row r="338" spans="1:8" ht="12.75" customHeight="1">
      <c r="A338" s="23">
        <v>43542</v>
      </c>
      <c r="B338" s="23"/>
      <c r="C338" s="26">
        <f>ROUND(9.83676907125,4)</f>
        <v>9.8368</v>
      </c>
      <c r="D338" s="26">
        <f>F338</f>
        <v>10.5341</v>
      </c>
      <c r="E338" s="26">
        <f>F338</f>
        <v>10.5341</v>
      </c>
      <c r="F338" s="26">
        <f>ROUND(10.5341,4)</f>
        <v>10.5341</v>
      </c>
      <c r="G338" s="24"/>
      <c r="H338" s="25"/>
    </row>
    <row r="339" spans="1:8" ht="12.75" customHeight="1">
      <c r="A339" s="23">
        <v>43630</v>
      </c>
      <c r="B339" s="23"/>
      <c r="C339" s="26">
        <f>ROUND(9.83676907125,4)</f>
        <v>9.8368</v>
      </c>
      <c r="D339" s="26">
        <f>F339</f>
        <v>10.674</v>
      </c>
      <c r="E339" s="26">
        <f>F339</f>
        <v>10.674</v>
      </c>
      <c r="F339" s="26">
        <f>ROUND(10.674,4)</f>
        <v>10.674</v>
      </c>
      <c r="G339" s="24"/>
      <c r="H339" s="25"/>
    </row>
    <row r="340" spans="1:8" ht="12.75" customHeight="1">
      <c r="A340" s="23">
        <v>43724</v>
      </c>
      <c r="B340" s="23"/>
      <c r="C340" s="26">
        <f>ROUND(9.83676907125,4)</f>
        <v>9.8368</v>
      </c>
      <c r="D340" s="26">
        <f>F340</f>
        <v>10.8248</v>
      </c>
      <c r="E340" s="26">
        <f>F340</f>
        <v>10.8248</v>
      </c>
      <c r="F340" s="26">
        <f>ROUND(10.8248,4)</f>
        <v>10.8248</v>
      </c>
      <c r="G340" s="24"/>
      <c r="H340" s="25"/>
    </row>
    <row r="341" spans="1:8" ht="12.75" customHeight="1">
      <c r="A341" s="23" t="s">
        <v>68</v>
      </c>
      <c r="B341" s="23"/>
      <c r="C341" s="28"/>
      <c r="D341" s="28"/>
      <c r="E341" s="28"/>
      <c r="F341" s="28"/>
      <c r="G341" s="24"/>
      <c r="H341" s="25"/>
    </row>
    <row r="342" spans="1:10" ht="12.75" customHeight="1">
      <c r="A342" s="23">
        <v>43087</v>
      </c>
      <c r="B342" s="23"/>
      <c r="C342" s="26">
        <f>ROUND(3.49246562941161,4)</f>
        <v>3.4925</v>
      </c>
      <c r="D342" s="26">
        <f>F342</f>
        <v>3.4925</v>
      </c>
      <c r="E342" s="26">
        <f>F342</f>
        <v>3.4925</v>
      </c>
      <c r="F342" s="26">
        <f>ROUND(3.4925,4)</f>
        <v>3.4925</v>
      </c>
      <c r="G342" s="24"/>
      <c r="H342" s="25"/>
      <c r="I342" s="22">
        <f>ROUND(3.61987285078345,4)</f>
        <v>3.6199</v>
      </c>
      <c r="J342" s="22">
        <f>ROUND(3.9411,4)</f>
        <v>3.9411</v>
      </c>
    </row>
    <row r="343" spans="1:8" ht="12.75" customHeight="1">
      <c r="A343" s="23">
        <v>43178</v>
      </c>
      <c r="B343" s="23"/>
      <c r="C343" s="26">
        <f>ROUND(3.49246562941161,4)</f>
        <v>3.4925</v>
      </c>
      <c r="D343" s="26">
        <f>F343</f>
        <v>3.8492</v>
      </c>
      <c r="E343" s="26">
        <f>F343</f>
        <v>3.8492</v>
      </c>
      <c r="F343" s="26">
        <f>ROUND(3.8492,4)</f>
        <v>3.8492</v>
      </c>
      <c r="G343" s="24"/>
      <c r="H343" s="25"/>
    </row>
    <row r="344" spans="1:8" ht="12.75" customHeight="1">
      <c r="A344" s="23">
        <v>43269</v>
      </c>
      <c r="B344" s="23"/>
      <c r="C344" s="26">
        <f>ROUND(3.49246562941161,4)</f>
        <v>3.4925</v>
      </c>
      <c r="D344" s="26">
        <f>F344</f>
        <v>3.9009</v>
      </c>
      <c r="E344" s="26">
        <f>F344</f>
        <v>3.9009</v>
      </c>
      <c r="F344" s="26">
        <f>ROUND(3.9009,4)</f>
        <v>3.9009</v>
      </c>
      <c r="G344" s="24"/>
      <c r="H344" s="25"/>
    </row>
    <row r="345" spans="1:8" ht="12.75" customHeight="1">
      <c r="A345" s="23" t="s">
        <v>69</v>
      </c>
      <c r="B345" s="23"/>
      <c r="C345" s="28"/>
      <c r="D345" s="28"/>
      <c r="E345" s="28"/>
      <c r="F345" s="28"/>
      <c r="G345" s="24"/>
      <c r="H345" s="25"/>
    </row>
    <row r="346" spans="1:8" ht="12.75" customHeight="1">
      <c r="A346" s="23">
        <v>43087</v>
      </c>
      <c r="B346" s="23"/>
      <c r="C346" s="26">
        <f>ROUND(1.27502865,4)</f>
        <v>1.275</v>
      </c>
      <c r="D346" s="26">
        <f>F346</f>
        <v>1.275</v>
      </c>
      <c r="E346" s="26">
        <f>F346</f>
        <v>1.275</v>
      </c>
      <c r="F346" s="26">
        <f>ROUND(1.275,4)</f>
        <v>1.275</v>
      </c>
      <c r="G346" s="24"/>
      <c r="H346" s="25"/>
    </row>
    <row r="347" spans="1:8" ht="12.75" customHeight="1">
      <c r="A347" s="23">
        <v>43178</v>
      </c>
      <c r="B347" s="23"/>
      <c r="C347" s="26">
        <f>ROUND(1.27502865,4)</f>
        <v>1.275</v>
      </c>
      <c r="D347" s="26">
        <f>F347</f>
        <v>1.289</v>
      </c>
      <c r="E347" s="26">
        <f>F347</f>
        <v>1.289</v>
      </c>
      <c r="F347" s="26">
        <f>ROUND(1.289,4)</f>
        <v>1.289</v>
      </c>
      <c r="G347" s="24"/>
      <c r="H347" s="25"/>
    </row>
    <row r="348" spans="1:8" ht="12.75" customHeight="1">
      <c r="A348" s="23">
        <v>43269</v>
      </c>
      <c r="B348" s="23"/>
      <c r="C348" s="26">
        <f>ROUND(1.27502865,4)</f>
        <v>1.275</v>
      </c>
      <c r="D348" s="26">
        <f>F348</f>
        <v>1.3039</v>
      </c>
      <c r="E348" s="26">
        <f>F348</f>
        <v>1.3039</v>
      </c>
      <c r="F348" s="26">
        <f>ROUND(1.3039,4)</f>
        <v>1.3039</v>
      </c>
      <c r="G348" s="24"/>
      <c r="H348" s="25"/>
    </row>
    <row r="349" spans="1:8" ht="12.75" customHeight="1">
      <c r="A349" s="23">
        <v>43360</v>
      </c>
      <c r="B349" s="23"/>
      <c r="C349" s="26">
        <f>ROUND(1.27502865,4)</f>
        <v>1.275</v>
      </c>
      <c r="D349" s="26">
        <f>F349</f>
        <v>1.3212</v>
      </c>
      <c r="E349" s="26">
        <f>F349</f>
        <v>1.3212</v>
      </c>
      <c r="F349" s="26">
        <f>ROUND(1.3212,4)</f>
        <v>1.3212</v>
      </c>
      <c r="G349" s="24"/>
      <c r="H349" s="25"/>
    </row>
    <row r="350" spans="1:8" ht="12.75" customHeight="1">
      <c r="A350" s="23">
        <v>43448</v>
      </c>
      <c r="B350" s="23"/>
      <c r="C350" s="26">
        <f>ROUND(1.27502865,4)</f>
        <v>1.275</v>
      </c>
      <c r="D350" s="26">
        <f>F350</f>
        <v>1.3745</v>
      </c>
      <c r="E350" s="26">
        <f>F350</f>
        <v>1.3745</v>
      </c>
      <c r="F350" s="26">
        <f>ROUND(1.3745,4)</f>
        <v>1.3745</v>
      </c>
      <c r="G350" s="24"/>
      <c r="H350" s="25"/>
    </row>
    <row r="351" spans="1:8" ht="12.75" customHeight="1">
      <c r="A351" s="23">
        <v>43542</v>
      </c>
      <c r="B351" s="23"/>
      <c r="C351" s="26">
        <f>ROUND(1.27502865,4)</f>
        <v>1.275</v>
      </c>
      <c r="D351" s="26">
        <f>F351</f>
        <v>1.4044</v>
      </c>
      <c r="E351" s="26">
        <f>F351</f>
        <v>1.4044</v>
      </c>
      <c r="F351" s="26">
        <f>ROUND(1.4044,4)</f>
        <v>1.4044</v>
      </c>
      <c r="G351" s="24"/>
      <c r="H351" s="25"/>
    </row>
    <row r="352" spans="1:8" ht="12.75" customHeight="1">
      <c r="A352" s="23">
        <v>43630</v>
      </c>
      <c r="B352" s="23"/>
      <c r="C352" s="26">
        <f>ROUND(1.27502865,4)</f>
        <v>1.275</v>
      </c>
      <c r="D352" s="26">
        <f>F352</f>
        <v>1.4145</v>
      </c>
      <c r="E352" s="26">
        <f>F352</f>
        <v>1.4145</v>
      </c>
      <c r="F352" s="26">
        <f>ROUND(1.4145,4)</f>
        <v>1.4145</v>
      </c>
      <c r="G352" s="24"/>
      <c r="H352" s="25"/>
    </row>
    <row r="353" spans="1:8" ht="12.75" customHeight="1">
      <c r="A353" s="23">
        <v>43724</v>
      </c>
      <c r="B353" s="23"/>
      <c r="C353" s="26">
        <f>ROUND(1.27502865,4)</f>
        <v>1.275</v>
      </c>
      <c r="D353" s="26">
        <f>F353</f>
        <v>1.4215</v>
      </c>
      <c r="E353" s="26">
        <f>F353</f>
        <v>1.4215</v>
      </c>
      <c r="F353" s="26">
        <f>ROUND(1.4215,4)</f>
        <v>1.4215</v>
      </c>
      <c r="G353" s="24"/>
      <c r="H353" s="25"/>
    </row>
    <row r="354" spans="1:8" ht="12.75" customHeight="1">
      <c r="A354" s="23" t="s">
        <v>70</v>
      </c>
      <c r="B354" s="23"/>
      <c r="C354" s="28"/>
      <c r="D354" s="28"/>
      <c r="E354" s="28"/>
      <c r="F354" s="28"/>
      <c r="G354" s="24"/>
      <c r="H354" s="25"/>
    </row>
    <row r="355" spans="1:8" ht="12.75" customHeight="1">
      <c r="A355" s="23">
        <v>43087</v>
      </c>
      <c r="B355" s="23"/>
      <c r="C355" s="26">
        <f>ROUND(9.97736527085837,4)</f>
        <v>9.9774</v>
      </c>
      <c r="D355" s="26">
        <f>F355</f>
        <v>9.9774</v>
      </c>
      <c r="E355" s="26">
        <f>F355</f>
        <v>9.9774</v>
      </c>
      <c r="F355" s="26">
        <f>ROUND(9.9774,4)</f>
        <v>9.9774</v>
      </c>
      <c r="G355" s="24"/>
      <c r="H355" s="25"/>
    </row>
    <row r="356" spans="1:8" ht="12.75" customHeight="1">
      <c r="A356" s="23">
        <v>43178</v>
      </c>
      <c r="B356" s="23"/>
      <c r="C356" s="26">
        <f>ROUND(9.97736527085837,4)</f>
        <v>9.9774</v>
      </c>
      <c r="D356" s="26">
        <f>F356</f>
        <v>10.1344</v>
      </c>
      <c r="E356" s="26">
        <f>F356</f>
        <v>10.1344</v>
      </c>
      <c r="F356" s="26">
        <f>ROUND(10.1344,4)</f>
        <v>10.1344</v>
      </c>
      <c r="G356" s="24"/>
      <c r="H356" s="25"/>
    </row>
    <row r="357" spans="1:8" ht="12.75" customHeight="1">
      <c r="A357" s="23">
        <v>43269</v>
      </c>
      <c r="B357" s="23"/>
      <c r="C357" s="26">
        <f>ROUND(9.97736527085837,4)</f>
        <v>9.9774</v>
      </c>
      <c r="D357" s="26">
        <f>F357</f>
        <v>10.2856</v>
      </c>
      <c r="E357" s="26">
        <f>F357</f>
        <v>10.2856</v>
      </c>
      <c r="F357" s="26">
        <f>ROUND(10.2856,4)</f>
        <v>10.2856</v>
      </c>
      <c r="G357" s="24"/>
      <c r="H357" s="25"/>
    </row>
    <row r="358" spans="1:8" ht="12.75" customHeight="1">
      <c r="A358" s="23">
        <v>43360</v>
      </c>
      <c r="B358" s="23"/>
      <c r="C358" s="26">
        <f>ROUND(9.97736527085837,4)</f>
        <v>9.9774</v>
      </c>
      <c r="D358" s="26">
        <f>F358</f>
        <v>10.2941</v>
      </c>
      <c r="E358" s="26">
        <f>F358</f>
        <v>10.2941</v>
      </c>
      <c r="F358" s="26">
        <f>ROUND(10.2941,4)</f>
        <v>10.2941</v>
      </c>
      <c r="G358" s="24"/>
      <c r="H358" s="25"/>
    </row>
    <row r="359" spans="1:8" ht="12.75" customHeight="1">
      <c r="A359" s="23">
        <v>43448</v>
      </c>
      <c r="B359" s="23"/>
      <c r="C359" s="26">
        <f>ROUND(9.97736527085837,4)</f>
        <v>9.9774</v>
      </c>
      <c r="D359" s="26">
        <f>F359</f>
        <v>10.4427</v>
      </c>
      <c r="E359" s="26">
        <f>F359</f>
        <v>10.4427</v>
      </c>
      <c r="F359" s="26">
        <f>ROUND(10.4427,4)</f>
        <v>10.4427</v>
      </c>
      <c r="G359" s="24"/>
      <c r="H359" s="25"/>
    </row>
    <row r="360" spans="1:8" ht="12.75" customHeight="1">
      <c r="A360" s="23">
        <v>43542</v>
      </c>
      <c r="B360" s="23"/>
      <c r="C360" s="26">
        <f>ROUND(9.97736527085837,4)</f>
        <v>9.9774</v>
      </c>
      <c r="D360" s="26">
        <f>F360</f>
        <v>10.5928</v>
      </c>
      <c r="E360" s="26">
        <f>F360</f>
        <v>10.5928</v>
      </c>
      <c r="F360" s="26">
        <f>ROUND(10.5928,4)</f>
        <v>10.5928</v>
      </c>
      <c r="G360" s="24"/>
      <c r="H360" s="25"/>
    </row>
    <row r="361" spans="1:8" ht="12.75" customHeight="1">
      <c r="A361" s="23">
        <v>43630</v>
      </c>
      <c r="B361" s="23"/>
      <c r="C361" s="26">
        <f>ROUND(9.97736527085837,4)</f>
        <v>9.9774</v>
      </c>
      <c r="D361" s="26">
        <f>F361</f>
        <v>10.7607</v>
      </c>
      <c r="E361" s="26">
        <f>F361</f>
        <v>10.7607</v>
      </c>
      <c r="F361" s="26">
        <f>ROUND(10.7607,4)</f>
        <v>10.7607</v>
      </c>
      <c r="G361" s="24"/>
      <c r="H361" s="25"/>
    </row>
    <row r="362" spans="1:8" ht="12.75" customHeight="1">
      <c r="A362" s="23">
        <v>43724</v>
      </c>
      <c r="B362" s="23"/>
      <c r="C362" s="26">
        <f>ROUND(9.97736527085837,4)</f>
        <v>9.9774</v>
      </c>
      <c r="D362" s="26">
        <f>F362</f>
        <v>10.9148</v>
      </c>
      <c r="E362" s="26">
        <f>F362</f>
        <v>10.9148</v>
      </c>
      <c r="F362" s="26">
        <f>ROUND(10.9148,4)</f>
        <v>10.9148</v>
      </c>
      <c r="G362" s="24"/>
      <c r="H362" s="25"/>
    </row>
    <row r="363" spans="1:8" ht="12.75" customHeight="1">
      <c r="A363" s="23" t="s">
        <v>71</v>
      </c>
      <c r="B363" s="23"/>
      <c r="C363" s="28"/>
      <c r="D363" s="28"/>
      <c r="E363" s="28"/>
      <c r="F363" s="28"/>
      <c r="G363" s="24"/>
      <c r="H363" s="25"/>
    </row>
    <row r="364" spans="1:8" ht="12.75" customHeight="1">
      <c r="A364" s="23">
        <v>43087</v>
      </c>
      <c r="B364" s="23"/>
      <c r="C364" s="26">
        <f>ROUND(1.94027446368404,4)</f>
        <v>1.9403</v>
      </c>
      <c r="D364" s="26">
        <f>F364</f>
        <v>1.9403</v>
      </c>
      <c r="E364" s="26">
        <f>F364</f>
        <v>1.9403</v>
      </c>
      <c r="F364" s="26">
        <f>ROUND(1.9403,4)</f>
        <v>1.9403</v>
      </c>
      <c r="G364" s="24"/>
      <c r="H364" s="25"/>
    </row>
    <row r="365" spans="1:8" ht="12.75" customHeight="1">
      <c r="A365" s="23">
        <v>43178</v>
      </c>
      <c r="B365" s="23"/>
      <c r="C365" s="26">
        <f>ROUND(1.94027446368404,4)</f>
        <v>1.9403</v>
      </c>
      <c r="D365" s="26">
        <f>F365</f>
        <v>1.956</v>
      </c>
      <c r="E365" s="26">
        <f>F365</f>
        <v>1.956</v>
      </c>
      <c r="F365" s="26">
        <f>ROUND(1.956,4)</f>
        <v>1.956</v>
      </c>
      <c r="G365" s="24"/>
      <c r="H365" s="25"/>
    </row>
    <row r="366" spans="1:8" ht="12.75" customHeight="1">
      <c r="A366" s="23">
        <v>43269</v>
      </c>
      <c r="B366" s="23"/>
      <c r="C366" s="26">
        <f>ROUND(1.94027446368404,4)</f>
        <v>1.9403</v>
      </c>
      <c r="D366" s="26">
        <f>F366</f>
        <v>1.9718</v>
      </c>
      <c r="E366" s="26">
        <f>F366</f>
        <v>1.9718</v>
      </c>
      <c r="F366" s="26">
        <f>ROUND(1.9718,4)</f>
        <v>1.9718</v>
      </c>
      <c r="G366" s="24"/>
      <c r="H366" s="25"/>
    </row>
    <row r="367" spans="1:8" ht="12.75" customHeight="1">
      <c r="A367" s="23">
        <v>43360</v>
      </c>
      <c r="B367" s="23"/>
      <c r="C367" s="26">
        <f>ROUND(1.94027446368404,4)</f>
        <v>1.9403</v>
      </c>
      <c r="D367" s="26">
        <f>F367</f>
        <v>1.9882</v>
      </c>
      <c r="E367" s="26">
        <f>F367</f>
        <v>1.9882</v>
      </c>
      <c r="F367" s="26">
        <f>ROUND(1.9882,4)</f>
        <v>1.9882</v>
      </c>
      <c r="G367" s="24"/>
      <c r="H367" s="25"/>
    </row>
    <row r="368" spans="1:8" ht="12.75" customHeight="1">
      <c r="A368" s="23">
        <v>43448</v>
      </c>
      <c r="B368" s="23"/>
      <c r="C368" s="26">
        <f>ROUND(1.94027446368404,4)</f>
        <v>1.9403</v>
      </c>
      <c r="D368" s="26">
        <f>F368</f>
        <v>2.0049</v>
      </c>
      <c r="E368" s="26">
        <f>F368</f>
        <v>2.0049</v>
      </c>
      <c r="F368" s="26">
        <f>ROUND(2.0049,4)</f>
        <v>2.0049</v>
      </c>
      <c r="G368" s="24"/>
      <c r="H368" s="25"/>
    </row>
    <row r="369" spans="1:8" ht="12.75" customHeight="1">
      <c r="A369" s="23">
        <v>43542</v>
      </c>
      <c r="B369" s="23"/>
      <c r="C369" s="26">
        <f>ROUND(1.94027446368404,4)</f>
        <v>1.9403</v>
      </c>
      <c r="D369" s="26">
        <f>F369</f>
        <v>2.0242</v>
      </c>
      <c r="E369" s="26">
        <f>F369</f>
        <v>2.0242</v>
      </c>
      <c r="F369" s="26">
        <f>ROUND(2.0242,4)</f>
        <v>2.0242</v>
      </c>
      <c r="G369" s="24"/>
      <c r="H369" s="25"/>
    </row>
    <row r="370" spans="1:8" ht="12.75" customHeight="1">
      <c r="A370" s="23">
        <v>43630</v>
      </c>
      <c r="B370" s="23"/>
      <c r="C370" s="26">
        <f>ROUND(1.94027446368404,4)</f>
        <v>1.9403</v>
      </c>
      <c r="D370" s="26">
        <f>F370</f>
        <v>2.0421</v>
      </c>
      <c r="E370" s="26">
        <f>F370</f>
        <v>2.0421</v>
      </c>
      <c r="F370" s="26">
        <f>ROUND(2.0421,4)</f>
        <v>2.0421</v>
      </c>
      <c r="G370" s="24"/>
      <c r="H370" s="25"/>
    </row>
    <row r="371" spans="1:8" ht="12.75" customHeight="1">
      <c r="A371" s="23">
        <v>43724</v>
      </c>
      <c r="B371" s="23"/>
      <c r="C371" s="26">
        <f>ROUND(1.94027446368404,4)</f>
        <v>1.9403</v>
      </c>
      <c r="D371" s="26">
        <f>F371</f>
        <v>2.0611</v>
      </c>
      <c r="E371" s="26">
        <f>F371</f>
        <v>2.0611</v>
      </c>
      <c r="F371" s="26">
        <f>ROUND(2.0611,4)</f>
        <v>2.0611</v>
      </c>
      <c r="G371" s="24"/>
      <c r="H371" s="25"/>
    </row>
    <row r="372" spans="1:8" ht="12.75" customHeight="1">
      <c r="A372" s="23" t="s">
        <v>72</v>
      </c>
      <c r="B372" s="23"/>
      <c r="C372" s="28"/>
      <c r="D372" s="28"/>
      <c r="E372" s="28"/>
      <c r="F372" s="28"/>
      <c r="G372" s="24"/>
      <c r="H372" s="25"/>
    </row>
    <row r="373" spans="1:8" ht="12.75" customHeight="1">
      <c r="A373" s="23">
        <v>43087</v>
      </c>
      <c r="B373" s="23"/>
      <c r="C373" s="26">
        <f>ROUND(2.03481823892587,4)</f>
        <v>2.0348</v>
      </c>
      <c r="D373" s="26">
        <f>F373</f>
        <v>2.0348</v>
      </c>
      <c r="E373" s="26">
        <f>F373</f>
        <v>2.0348</v>
      </c>
      <c r="F373" s="26">
        <f>ROUND(2.0348,4)</f>
        <v>2.0348</v>
      </c>
      <c r="G373" s="24"/>
      <c r="H373" s="25"/>
    </row>
    <row r="374" spans="1:8" ht="12.75" customHeight="1">
      <c r="A374" s="23">
        <v>43178</v>
      </c>
      <c r="B374" s="23"/>
      <c r="C374" s="26">
        <f>ROUND(2.03481823892587,4)</f>
        <v>2.0348</v>
      </c>
      <c r="D374" s="26">
        <f>F374</f>
        <v>2.0841</v>
      </c>
      <c r="E374" s="26">
        <f>F374</f>
        <v>2.0841</v>
      </c>
      <c r="F374" s="26">
        <f>ROUND(2.0841,4)</f>
        <v>2.0841</v>
      </c>
      <c r="G374" s="24"/>
      <c r="H374" s="25"/>
    </row>
    <row r="375" spans="1:8" ht="12.75" customHeight="1">
      <c r="A375" s="23">
        <v>43269</v>
      </c>
      <c r="B375" s="23"/>
      <c r="C375" s="26">
        <f>ROUND(2.03481823892587,4)</f>
        <v>2.0348</v>
      </c>
      <c r="D375" s="26">
        <f>F375</f>
        <v>2.1263</v>
      </c>
      <c r="E375" s="26">
        <f>F375</f>
        <v>2.1263</v>
      </c>
      <c r="F375" s="26">
        <f>ROUND(2.1263,4)</f>
        <v>2.1263</v>
      </c>
      <c r="G375" s="24"/>
      <c r="H375" s="25"/>
    </row>
    <row r="376" spans="1:8" ht="12.75" customHeight="1">
      <c r="A376" s="23">
        <v>43360</v>
      </c>
      <c r="B376" s="23"/>
      <c r="C376" s="26">
        <f>ROUND(2.03481823892587,4)</f>
        <v>2.0348</v>
      </c>
      <c r="D376" s="26">
        <f>F376</f>
        <v>2.1703</v>
      </c>
      <c r="E376" s="26">
        <f>F376</f>
        <v>2.1703</v>
      </c>
      <c r="F376" s="26">
        <f>ROUND(2.1703,4)</f>
        <v>2.1703</v>
      </c>
      <c r="G376" s="24"/>
      <c r="H376" s="25"/>
    </row>
    <row r="377" spans="1:8" ht="12.75" customHeight="1">
      <c r="A377" s="23">
        <v>43448</v>
      </c>
      <c r="B377" s="23"/>
      <c r="C377" s="26">
        <f>ROUND(2.03481823892587,4)</f>
        <v>2.0348</v>
      </c>
      <c r="D377" s="26">
        <f>F377</f>
        <v>2.3084</v>
      </c>
      <c r="E377" s="26">
        <f>F377</f>
        <v>2.3084</v>
      </c>
      <c r="F377" s="26">
        <f>ROUND(2.3084,4)</f>
        <v>2.3084</v>
      </c>
      <c r="G377" s="24"/>
      <c r="H377" s="25"/>
    </row>
    <row r="378" spans="1:8" ht="12.75" customHeight="1">
      <c r="A378" s="23">
        <v>43542</v>
      </c>
      <c r="B378" s="23"/>
      <c r="C378" s="26">
        <f>ROUND(2.03481823892587,4)</f>
        <v>2.0348</v>
      </c>
      <c r="D378" s="26">
        <f>F378</f>
        <v>2.3551</v>
      </c>
      <c r="E378" s="26">
        <f>F378</f>
        <v>2.3551</v>
      </c>
      <c r="F378" s="26">
        <f>ROUND(2.3551,4)</f>
        <v>2.3551</v>
      </c>
      <c r="G378" s="24"/>
      <c r="H378" s="25"/>
    </row>
    <row r="379" spans="1:8" ht="12.75" customHeight="1">
      <c r="A379" s="23">
        <v>43630</v>
      </c>
      <c r="B379" s="23"/>
      <c r="C379" s="26">
        <f>ROUND(2.03481823892587,4)</f>
        <v>2.0348</v>
      </c>
      <c r="D379" s="26">
        <f>F379</f>
        <v>2.4179</v>
      </c>
      <c r="E379" s="26">
        <f>F379</f>
        <v>2.4179</v>
      </c>
      <c r="F379" s="26">
        <f>ROUND(2.4179,4)</f>
        <v>2.4179</v>
      </c>
      <c r="G379" s="24"/>
      <c r="H379" s="25"/>
    </row>
    <row r="380" spans="1:8" ht="12.75" customHeight="1">
      <c r="A380" s="23">
        <v>43724</v>
      </c>
      <c r="B380" s="23"/>
      <c r="C380" s="26">
        <f>ROUND(2.03481823892587,4)</f>
        <v>2.0348</v>
      </c>
      <c r="D380" s="26">
        <f>F380</f>
        <v>2.4817</v>
      </c>
      <c r="E380" s="26">
        <f>F380</f>
        <v>2.4817</v>
      </c>
      <c r="F380" s="26">
        <f>ROUND(2.4817,4)</f>
        <v>2.4817</v>
      </c>
      <c r="G380" s="24"/>
      <c r="H380" s="25"/>
    </row>
    <row r="381" spans="1:8" ht="12.75" customHeight="1">
      <c r="A381" s="23" t="s">
        <v>73</v>
      </c>
      <c r="B381" s="23"/>
      <c r="C381" s="28"/>
      <c r="D381" s="28"/>
      <c r="E381" s="28"/>
      <c r="F381" s="28"/>
      <c r="G381" s="24"/>
      <c r="H381" s="25"/>
    </row>
    <row r="382" spans="1:8" ht="12.75" customHeight="1">
      <c r="A382" s="23">
        <v>43087</v>
      </c>
      <c r="B382" s="23"/>
      <c r="C382" s="26">
        <f>ROUND(15.1468016175,4)</f>
        <v>15.1468</v>
      </c>
      <c r="D382" s="26">
        <f>F382</f>
        <v>15.1468</v>
      </c>
      <c r="E382" s="26">
        <f>F382</f>
        <v>15.1468</v>
      </c>
      <c r="F382" s="26">
        <f>ROUND(15.1468,4)</f>
        <v>15.1468</v>
      </c>
      <c r="G382" s="24"/>
      <c r="H382" s="25"/>
    </row>
    <row r="383" spans="1:8" ht="12.75" customHeight="1">
      <c r="A383" s="23">
        <v>43178</v>
      </c>
      <c r="B383" s="23"/>
      <c r="C383" s="26">
        <f>ROUND(15.1468016175,4)</f>
        <v>15.1468</v>
      </c>
      <c r="D383" s="26">
        <f>F383</f>
        <v>15.461</v>
      </c>
      <c r="E383" s="26">
        <f>F383</f>
        <v>15.461</v>
      </c>
      <c r="F383" s="26">
        <f>ROUND(15.461,4)</f>
        <v>15.461</v>
      </c>
      <c r="G383" s="24"/>
      <c r="H383" s="25"/>
    </row>
    <row r="384" spans="1:8" ht="12.75" customHeight="1">
      <c r="A384" s="23">
        <v>43269</v>
      </c>
      <c r="B384" s="23"/>
      <c r="C384" s="26">
        <f>ROUND(15.1468016175,4)</f>
        <v>15.1468</v>
      </c>
      <c r="D384" s="26">
        <f>F384</f>
        <v>15.77</v>
      </c>
      <c r="E384" s="26">
        <f>F384</f>
        <v>15.77</v>
      </c>
      <c r="F384" s="26">
        <f>ROUND(15.77,4)</f>
        <v>15.77</v>
      </c>
      <c r="G384" s="24"/>
      <c r="H384" s="25"/>
    </row>
    <row r="385" spans="1:8" ht="12.75" customHeight="1">
      <c r="A385" s="23">
        <v>43360</v>
      </c>
      <c r="B385" s="23"/>
      <c r="C385" s="26">
        <f>ROUND(15.1468016175,4)</f>
        <v>15.1468</v>
      </c>
      <c r="D385" s="26">
        <f>F385</f>
        <v>16.0876</v>
      </c>
      <c r="E385" s="26">
        <f>F385</f>
        <v>16.0876</v>
      </c>
      <c r="F385" s="26">
        <f>ROUND(16.0876,4)</f>
        <v>16.0876</v>
      </c>
      <c r="G385" s="24"/>
      <c r="H385" s="25"/>
    </row>
    <row r="386" spans="1:8" ht="12.75" customHeight="1">
      <c r="A386" s="23">
        <v>43448</v>
      </c>
      <c r="B386" s="23"/>
      <c r="C386" s="26">
        <f>ROUND(15.1468016175,4)</f>
        <v>15.1468</v>
      </c>
      <c r="D386" s="26">
        <f>F386</f>
        <v>16.407</v>
      </c>
      <c r="E386" s="26">
        <f>F386</f>
        <v>16.407</v>
      </c>
      <c r="F386" s="26">
        <f>ROUND(16.407,4)</f>
        <v>16.407</v>
      </c>
      <c r="G386" s="24"/>
      <c r="H386" s="25"/>
    </row>
    <row r="387" spans="1:8" ht="12.75" customHeight="1">
      <c r="A387" s="23">
        <v>43542</v>
      </c>
      <c r="B387" s="23"/>
      <c r="C387" s="26">
        <f>ROUND(15.1468016175,4)</f>
        <v>15.1468</v>
      </c>
      <c r="D387" s="26">
        <f>F387</f>
        <v>16.7156</v>
      </c>
      <c r="E387" s="26">
        <f>F387</f>
        <v>16.7156</v>
      </c>
      <c r="F387" s="26">
        <f>ROUND(16.7156,4)</f>
        <v>16.7156</v>
      </c>
      <c r="G387" s="24"/>
      <c r="H387" s="25"/>
    </row>
    <row r="388" spans="1:8" ht="12.75" customHeight="1">
      <c r="A388" s="23">
        <v>43630</v>
      </c>
      <c r="B388" s="23"/>
      <c r="C388" s="26">
        <f>ROUND(15.1468016175,4)</f>
        <v>15.1468</v>
      </c>
      <c r="D388" s="26">
        <f>F388</f>
        <v>17.1132</v>
      </c>
      <c r="E388" s="26">
        <f>F388</f>
        <v>17.1132</v>
      </c>
      <c r="F388" s="26">
        <f>ROUND(17.1132,4)</f>
        <v>17.1132</v>
      </c>
      <c r="G388" s="24"/>
      <c r="H388" s="25"/>
    </row>
    <row r="389" spans="1:8" ht="12.75" customHeight="1">
      <c r="A389" s="23">
        <v>43724</v>
      </c>
      <c r="B389" s="23"/>
      <c r="C389" s="26">
        <f>ROUND(15.1468016175,4)</f>
        <v>15.1468</v>
      </c>
      <c r="D389" s="26">
        <f>F389</f>
        <v>17.5455</v>
      </c>
      <c r="E389" s="26">
        <f>F389</f>
        <v>17.5455</v>
      </c>
      <c r="F389" s="26">
        <f>ROUND(17.5455,4)</f>
        <v>17.5455</v>
      </c>
      <c r="G389" s="24"/>
      <c r="H389" s="25"/>
    </row>
    <row r="390" spans="1:8" ht="12.75" customHeight="1">
      <c r="A390" s="23" t="s">
        <v>74</v>
      </c>
      <c r="B390" s="23"/>
      <c r="C390" s="28"/>
      <c r="D390" s="28"/>
      <c r="E390" s="28"/>
      <c r="F390" s="28"/>
      <c r="G390" s="24"/>
      <c r="H390" s="25"/>
    </row>
    <row r="391" spans="1:8" ht="12.75" customHeight="1">
      <c r="A391" s="23">
        <v>43087</v>
      </c>
      <c r="B391" s="23"/>
      <c r="C391" s="26">
        <f>ROUND(12.9981101580273,4)</f>
        <v>12.9981</v>
      </c>
      <c r="D391" s="26">
        <f>F391</f>
        <v>12.9981</v>
      </c>
      <c r="E391" s="26">
        <f>F391</f>
        <v>12.9981</v>
      </c>
      <c r="F391" s="26">
        <f>ROUND(12.9981,4)</f>
        <v>12.9981</v>
      </c>
      <c r="G391" s="24"/>
      <c r="H391" s="25"/>
    </row>
    <row r="392" spans="1:8" ht="12.75" customHeight="1">
      <c r="A392" s="23">
        <v>43178</v>
      </c>
      <c r="B392" s="23"/>
      <c r="C392" s="26">
        <f>ROUND(12.9981101580273,4)</f>
        <v>12.9981</v>
      </c>
      <c r="D392" s="26">
        <f>F392</f>
        <v>13.2855</v>
      </c>
      <c r="E392" s="26">
        <f>F392</f>
        <v>13.2855</v>
      </c>
      <c r="F392" s="26">
        <f>ROUND(13.2855,4)</f>
        <v>13.2855</v>
      </c>
      <c r="G392" s="24"/>
      <c r="H392" s="25"/>
    </row>
    <row r="393" spans="1:8" ht="12.75" customHeight="1">
      <c r="A393" s="23">
        <v>43269</v>
      </c>
      <c r="B393" s="23"/>
      <c r="C393" s="26">
        <f>ROUND(12.9981101580273,4)</f>
        <v>12.9981</v>
      </c>
      <c r="D393" s="26">
        <f>F393</f>
        <v>13.5655</v>
      </c>
      <c r="E393" s="26">
        <f>F393</f>
        <v>13.5655</v>
      </c>
      <c r="F393" s="26">
        <f>ROUND(13.5655,4)</f>
        <v>13.5655</v>
      </c>
      <c r="G393" s="24"/>
      <c r="H393" s="25"/>
    </row>
    <row r="394" spans="1:8" ht="12.75" customHeight="1">
      <c r="A394" s="23">
        <v>43360</v>
      </c>
      <c r="B394" s="23"/>
      <c r="C394" s="26">
        <f>ROUND(12.9981101580273,4)</f>
        <v>12.9981</v>
      </c>
      <c r="D394" s="26">
        <f>F394</f>
        <v>13.8563</v>
      </c>
      <c r="E394" s="26">
        <f>F394</f>
        <v>13.8563</v>
      </c>
      <c r="F394" s="26">
        <f>ROUND(13.8563,4)</f>
        <v>13.8563</v>
      </c>
      <c r="G394" s="24"/>
      <c r="H394" s="25"/>
    </row>
    <row r="395" spans="1:8" ht="12.75" customHeight="1">
      <c r="A395" s="23">
        <v>43448</v>
      </c>
      <c r="B395" s="23"/>
      <c r="C395" s="26">
        <f>ROUND(12.9981101580273,4)</f>
        <v>12.9981</v>
      </c>
      <c r="D395" s="26">
        <f>F395</f>
        <v>14.1442</v>
      </c>
      <c r="E395" s="26">
        <f>F395</f>
        <v>14.1442</v>
      </c>
      <c r="F395" s="26">
        <f>ROUND(14.1442,4)</f>
        <v>14.1442</v>
      </c>
      <c r="G395" s="24"/>
      <c r="H395" s="25"/>
    </row>
    <row r="396" spans="1:8" ht="12.75" customHeight="1">
      <c r="A396" s="23">
        <v>43542</v>
      </c>
      <c r="B396" s="23"/>
      <c r="C396" s="26">
        <f>ROUND(12.9981101580273,4)</f>
        <v>12.9981</v>
      </c>
      <c r="D396" s="26">
        <f>F396</f>
        <v>14.8233</v>
      </c>
      <c r="E396" s="26">
        <f>F396</f>
        <v>14.8233</v>
      </c>
      <c r="F396" s="26">
        <f>ROUND(14.8233,4)</f>
        <v>14.8233</v>
      </c>
      <c r="G396" s="24"/>
      <c r="H396" s="25"/>
    </row>
    <row r="397" spans="1:8" ht="12.75" customHeight="1">
      <c r="A397" s="23">
        <v>43630</v>
      </c>
      <c r="B397" s="23"/>
      <c r="C397" s="26">
        <f>ROUND(12.9981101580273,4)</f>
        <v>12.9981</v>
      </c>
      <c r="D397" s="26">
        <f>F397</f>
        <v>15.074</v>
      </c>
      <c r="E397" s="26">
        <f>F397</f>
        <v>15.074</v>
      </c>
      <c r="F397" s="26">
        <f>ROUND(15.074,4)</f>
        <v>15.074</v>
      </c>
      <c r="G397" s="24"/>
      <c r="H397" s="25"/>
    </row>
    <row r="398" spans="1:8" ht="12.75" customHeight="1">
      <c r="A398" s="23">
        <v>43724</v>
      </c>
      <c r="B398" s="23"/>
      <c r="C398" s="26">
        <f>ROUND(12.9981101580273,4)</f>
        <v>12.9981</v>
      </c>
      <c r="D398" s="26">
        <f>F398</f>
        <v>15.3741</v>
      </c>
      <c r="E398" s="26">
        <f>F398</f>
        <v>15.3741</v>
      </c>
      <c r="F398" s="26">
        <f>ROUND(15.3741,4)</f>
        <v>15.3741</v>
      </c>
      <c r="G398" s="24"/>
      <c r="H398" s="25"/>
    </row>
    <row r="399" spans="1:8" ht="12.75" customHeight="1">
      <c r="A399" s="23" t="s">
        <v>75</v>
      </c>
      <c r="B399" s="23"/>
      <c r="C399" s="28"/>
      <c r="D399" s="28"/>
      <c r="E399" s="28"/>
      <c r="F399" s="28"/>
      <c r="G399" s="24"/>
      <c r="H399" s="25"/>
    </row>
    <row r="400" spans="1:8" ht="12.75" customHeight="1">
      <c r="A400" s="23">
        <v>43087</v>
      </c>
      <c r="B400" s="23"/>
      <c r="C400" s="26">
        <f>ROUND(17.20243256625,4)</f>
        <v>17.2024</v>
      </c>
      <c r="D400" s="26">
        <f>F400</f>
        <v>17.2024</v>
      </c>
      <c r="E400" s="26">
        <f>F400</f>
        <v>17.2024</v>
      </c>
      <c r="F400" s="26">
        <f>ROUND(17.2024,4)</f>
        <v>17.2024</v>
      </c>
      <c r="G400" s="24"/>
      <c r="H400" s="25"/>
    </row>
    <row r="401" spans="1:8" ht="12.75" customHeight="1">
      <c r="A401" s="23">
        <v>43178</v>
      </c>
      <c r="B401" s="23"/>
      <c r="C401" s="26">
        <f>ROUND(17.20243256625,4)</f>
        <v>17.2024</v>
      </c>
      <c r="D401" s="26">
        <f>F401</f>
        <v>17.5142</v>
      </c>
      <c r="E401" s="26">
        <f>F401</f>
        <v>17.5142</v>
      </c>
      <c r="F401" s="26">
        <f>ROUND(17.5142,4)</f>
        <v>17.5142</v>
      </c>
      <c r="G401" s="24"/>
      <c r="H401" s="25"/>
    </row>
    <row r="402" spans="1:8" ht="12.75" customHeight="1">
      <c r="A402" s="23">
        <v>43269</v>
      </c>
      <c r="B402" s="23"/>
      <c r="C402" s="26">
        <f>ROUND(17.20243256625,4)</f>
        <v>17.2024</v>
      </c>
      <c r="D402" s="26">
        <f>F402</f>
        <v>17.8159</v>
      </c>
      <c r="E402" s="26">
        <f>F402</f>
        <v>17.8159</v>
      </c>
      <c r="F402" s="26">
        <f>ROUND(17.8159,4)</f>
        <v>17.8159</v>
      </c>
      <c r="G402" s="24"/>
      <c r="H402" s="25"/>
    </row>
    <row r="403" spans="1:8" ht="12.75" customHeight="1">
      <c r="A403" s="23">
        <v>43360</v>
      </c>
      <c r="B403" s="23"/>
      <c r="C403" s="26">
        <f>ROUND(17.20243256625,4)</f>
        <v>17.2024</v>
      </c>
      <c r="D403" s="26">
        <f>F403</f>
        <v>18.1235</v>
      </c>
      <c r="E403" s="26">
        <f>F403</f>
        <v>18.1235</v>
      </c>
      <c r="F403" s="26">
        <f>ROUND(18.1235,4)</f>
        <v>18.1235</v>
      </c>
      <c r="G403" s="24"/>
      <c r="H403" s="25"/>
    </row>
    <row r="404" spans="1:8" ht="12.75" customHeight="1">
      <c r="A404" s="23">
        <v>43448</v>
      </c>
      <c r="B404" s="23"/>
      <c r="C404" s="26">
        <f>ROUND(17.20243256625,4)</f>
        <v>17.2024</v>
      </c>
      <c r="D404" s="26">
        <f>F404</f>
        <v>18.428</v>
      </c>
      <c r="E404" s="26">
        <f>F404</f>
        <v>18.428</v>
      </c>
      <c r="F404" s="26">
        <f>ROUND(18.428,4)</f>
        <v>18.428</v>
      </c>
      <c r="G404" s="24"/>
      <c r="H404" s="25"/>
    </row>
    <row r="405" spans="1:8" ht="12.75" customHeight="1">
      <c r="A405" s="23">
        <v>43542</v>
      </c>
      <c r="B405" s="23"/>
      <c r="C405" s="26">
        <f>ROUND(17.20243256625,4)</f>
        <v>17.2024</v>
      </c>
      <c r="D405" s="26">
        <f>F405</f>
        <v>18.7736</v>
      </c>
      <c r="E405" s="26">
        <f>F405</f>
        <v>18.7736</v>
      </c>
      <c r="F405" s="26">
        <f>ROUND(18.7736,4)</f>
        <v>18.7736</v>
      </c>
      <c r="G405" s="24"/>
      <c r="H405" s="25"/>
    </row>
    <row r="406" spans="1:8" ht="12.75" customHeight="1">
      <c r="A406" s="23">
        <v>43630</v>
      </c>
      <c r="B406" s="23"/>
      <c r="C406" s="26">
        <f>ROUND(17.20243256625,4)</f>
        <v>17.2024</v>
      </c>
      <c r="D406" s="26">
        <f>F406</f>
        <v>18.8403</v>
      </c>
      <c r="E406" s="26">
        <f>F406</f>
        <v>18.8403</v>
      </c>
      <c r="F406" s="26">
        <f>ROUND(18.8403,4)</f>
        <v>18.8403</v>
      </c>
      <c r="G406" s="24"/>
      <c r="H406" s="25"/>
    </row>
    <row r="407" spans="1:8" ht="12.75" customHeight="1">
      <c r="A407" s="23">
        <v>43724</v>
      </c>
      <c r="B407" s="23"/>
      <c r="C407" s="26">
        <f>ROUND(17.20243256625,4)</f>
        <v>17.2024</v>
      </c>
      <c r="D407" s="26">
        <f>F407</f>
        <v>19.4505</v>
      </c>
      <c r="E407" s="26">
        <f>F407</f>
        <v>19.4505</v>
      </c>
      <c r="F407" s="26">
        <f>ROUND(19.4505,4)</f>
        <v>19.4505</v>
      </c>
      <c r="G407" s="24"/>
      <c r="H407" s="25"/>
    </row>
    <row r="408" spans="1:8" ht="12.75" customHeight="1">
      <c r="A408" s="23" t="s">
        <v>76</v>
      </c>
      <c r="B408" s="23"/>
      <c r="C408" s="28"/>
      <c r="D408" s="28"/>
      <c r="E408" s="28"/>
      <c r="F408" s="28"/>
      <c r="G408" s="24"/>
      <c r="H408" s="25"/>
    </row>
    <row r="409" spans="1:8" ht="12.75" customHeight="1">
      <c r="A409" s="23">
        <v>43087</v>
      </c>
      <c r="B409" s="23"/>
      <c r="C409" s="26">
        <f>ROUND(1.64121155824415,4)</f>
        <v>1.6412</v>
      </c>
      <c r="D409" s="26">
        <f>F409</f>
        <v>1.6412</v>
      </c>
      <c r="E409" s="26">
        <f>F409</f>
        <v>1.6412</v>
      </c>
      <c r="F409" s="26">
        <f>ROUND(1.6412,4)</f>
        <v>1.6412</v>
      </c>
      <c r="G409" s="24"/>
      <c r="H409" s="25"/>
    </row>
    <row r="410" spans="1:8" ht="12.75" customHeight="1">
      <c r="A410" s="23">
        <v>43178</v>
      </c>
      <c r="B410" s="23"/>
      <c r="C410" s="26">
        <f>ROUND(1.64121155824415,4)</f>
        <v>1.6412</v>
      </c>
      <c r="D410" s="26">
        <f>F410</f>
        <v>1.6668</v>
      </c>
      <c r="E410" s="26">
        <f>F410</f>
        <v>1.6668</v>
      </c>
      <c r="F410" s="26">
        <f>ROUND(1.6668,4)</f>
        <v>1.6668</v>
      </c>
      <c r="G410" s="24"/>
      <c r="H410" s="25"/>
    </row>
    <row r="411" spans="1:8" ht="12.75" customHeight="1">
      <c r="A411" s="23">
        <v>43269</v>
      </c>
      <c r="B411" s="23"/>
      <c r="C411" s="26">
        <f>ROUND(1.64121155824415,4)</f>
        <v>1.6412</v>
      </c>
      <c r="D411" s="26">
        <f>F411</f>
        <v>1.6923</v>
      </c>
      <c r="E411" s="26">
        <f>F411</f>
        <v>1.6923</v>
      </c>
      <c r="F411" s="26">
        <f>ROUND(1.6923,4)</f>
        <v>1.6923</v>
      </c>
      <c r="G411" s="24"/>
      <c r="H411" s="25"/>
    </row>
    <row r="412" spans="1:8" ht="12.75" customHeight="1">
      <c r="A412" s="23">
        <v>43360</v>
      </c>
      <c r="B412" s="23"/>
      <c r="C412" s="26">
        <f>ROUND(1.64121155824415,4)</f>
        <v>1.6412</v>
      </c>
      <c r="D412" s="26">
        <f>F412</f>
        <v>1.7174</v>
      </c>
      <c r="E412" s="26">
        <f>F412</f>
        <v>1.7174</v>
      </c>
      <c r="F412" s="26">
        <f>ROUND(1.7174,4)</f>
        <v>1.7174</v>
      </c>
      <c r="G412" s="24"/>
      <c r="H412" s="25"/>
    </row>
    <row r="413" spans="1:8" ht="12.75" customHeight="1">
      <c r="A413" s="23">
        <v>43448</v>
      </c>
      <c r="B413" s="23"/>
      <c r="C413" s="26">
        <f>ROUND(1.64121155824415,4)</f>
        <v>1.6412</v>
      </c>
      <c r="D413" s="26">
        <f>F413</f>
        <v>1.8186</v>
      </c>
      <c r="E413" s="26">
        <f>F413</f>
        <v>1.8186</v>
      </c>
      <c r="F413" s="26">
        <f>ROUND(1.8186,4)</f>
        <v>1.8186</v>
      </c>
      <c r="G413" s="24"/>
      <c r="H413" s="25"/>
    </row>
    <row r="414" spans="1:8" ht="12.75" customHeight="1">
      <c r="A414" s="23">
        <v>43542</v>
      </c>
      <c r="B414" s="23"/>
      <c r="C414" s="26">
        <f>ROUND(1.64121155824415,4)</f>
        <v>1.6412</v>
      </c>
      <c r="D414" s="26">
        <f>F414</f>
        <v>1.8443</v>
      </c>
      <c r="E414" s="26">
        <f>F414</f>
        <v>1.8443</v>
      </c>
      <c r="F414" s="26">
        <f>ROUND(1.8443,4)</f>
        <v>1.8443</v>
      </c>
      <c r="G414" s="24"/>
      <c r="H414" s="25"/>
    </row>
    <row r="415" spans="1:8" ht="12.75" customHeight="1">
      <c r="A415" s="23">
        <v>43630</v>
      </c>
      <c r="B415" s="23"/>
      <c r="C415" s="26">
        <f>ROUND(1.64121155824415,4)</f>
        <v>1.6412</v>
      </c>
      <c r="D415" s="26">
        <f>F415</f>
        <v>1.8752</v>
      </c>
      <c r="E415" s="26">
        <f>F415</f>
        <v>1.8752</v>
      </c>
      <c r="F415" s="26">
        <f>ROUND(1.8752,4)</f>
        <v>1.8752</v>
      </c>
      <c r="G415" s="24"/>
      <c r="H415" s="25"/>
    </row>
    <row r="416" spans="1:8" ht="12.75" customHeight="1">
      <c r="A416" s="23">
        <v>43724</v>
      </c>
      <c r="B416" s="23"/>
      <c r="C416" s="26">
        <f>ROUND(1.64121155824415,4)</f>
        <v>1.6412</v>
      </c>
      <c r="D416" s="26">
        <f>F416</f>
        <v>1.9047</v>
      </c>
      <c r="E416" s="26">
        <f>F416</f>
        <v>1.9047</v>
      </c>
      <c r="F416" s="26">
        <f>ROUND(1.9047,4)</f>
        <v>1.9047</v>
      </c>
      <c r="G416" s="24"/>
      <c r="H416" s="25"/>
    </row>
    <row r="417" spans="1:8" ht="12.75" customHeight="1">
      <c r="A417" s="23" t="s">
        <v>77</v>
      </c>
      <c r="B417" s="23"/>
      <c r="C417" s="28"/>
      <c r="D417" s="28"/>
      <c r="E417" s="28"/>
      <c r="F417" s="28"/>
      <c r="G417" s="24"/>
      <c r="H417" s="25"/>
    </row>
    <row r="418" spans="1:8" ht="12.75" customHeight="1">
      <c r="A418" s="23">
        <v>43087</v>
      </c>
      <c r="B418" s="23"/>
      <c r="C418" s="30">
        <f>ROUND(0.114031656569338,6)</f>
        <v>0.114032</v>
      </c>
      <c r="D418" s="30">
        <f>F418</f>
        <v>0.114032</v>
      </c>
      <c r="E418" s="30">
        <f>F418</f>
        <v>0.114032</v>
      </c>
      <c r="F418" s="30">
        <f>ROUND(0.114032,6)</f>
        <v>0.114032</v>
      </c>
      <c r="G418" s="24"/>
      <c r="H418" s="25"/>
    </row>
    <row r="419" spans="1:8" ht="12.75" customHeight="1">
      <c r="A419" s="23">
        <v>43178</v>
      </c>
      <c r="B419" s="23"/>
      <c r="C419" s="30">
        <f>ROUND(0.114031656569338,6)</f>
        <v>0.114032</v>
      </c>
      <c r="D419" s="30">
        <f>F419</f>
        <v>0.116258</v>
      </c>
      <c r="E419" s="30">
        <f>F419</f>
        <v>0.116258</v>
      </c>
      <c r="F419" s="30">
        <f>ROUND(0.116258,6)</f>
        <v>0.116258</v>
      </c>
      <c r="G419" s="24"/>
      <c r="H419" s="25"/>
    </row>
    <row r="420" spans="1:8" ht="12.75" customHeight="1">
      <c r="A420" s="23">
        <v>43269</v>
      </c>
      <c r="B420" s="23"/>
      <c r="C420" s="30">
        <f>ROUND(0.114031656569338,6)</f>
        <v>0.114032</v>
      </c>
      <c r="D420" s="30">
        <f>F420</f>
        <v>0.118495</v>
      </c>
      <c r="E420" s="30">
        <f>F420</f>
        <v>0.118495</v>
      </c>
      <c r="F420" s="30">
        <f>ROUND(0.118495,6)</f>
        <v>0.118495</v>
      </c>
      <c r="G420" s="24"/>
      <c r="H420" s="25"/>
    </row>
    <row r="421" spans="1:8" ht="12.75" customHeight="1">
      <c r="A421" s="23">
        <v>43360</v>
      </c>
      <c r="B421" s="23"/>
      <c r="C421" s="30">
        <f>ROUND(0.114031656569338,6)</f>
        <v>0.114032</v>
      </c>
      <c r="D421" s="30">
        <f>F421</f>
        <v>0.120826</v>
      </c>
      <c r="E421" s="30">
        <f>F421</f>
        <v>0.120826</v>
      </c>
      <c r="F421" s="30">
        <f>ROUND(0.120826,6)</f>
        <v>0.120826</v>
      </c>
      <c r="G421" s="24"/>
      <c r="H421" s="25"/>
    </row>
    <row r="422" spans="1:8" ht="12.75" customHeight="1">
      <c r="A422" s="23">
        <v>43448</v>
      </c>
      <c r="B422" s="23"/>
      <c r="C422" s="30">
        <f>ROUND(0.114031656569338,6)</f>
        <v>0.114032</v>
      </c>
      <c r="D422" s="30">
        <f>F422</f>
        <v>0.123177</v>
      </c>
      <c r="E422" s="30">
        <f>F422</f>
        <v>0.123177</v>
      </c>
      <c r="F422" s="30">
        <f>ROUND(0.123177,6)</f>
        <v>0.123177</v>
      </c>
      <c r="G422" s="24"/>
      <c r="H422" s="25"/>
    </row>
    <row r="423" spans="1:8" ht="12.75" customHeight="1">
      <c r="A423" s="23">
        <v>43542</v>
      </c>
      <c r="B423" s="23"/>
      <c r="C423" s="30">
        <f>ROUND(0.114031656569338,6)</f>
        <v>0.114032</v>
      </c>
      <c r="D423" s="30">
        <f>F423</f>
        <v>0.129467</v>
      </c>
      <c r="E423" s="30">
        <f>F423</f>
        <v>0.129467</v>
      </c>
      <c r="F423" s="30">
        <f>ROUND(0.129467,6)</f>
        <v>0.129467</v>
      </c>
      <c r="G423" s="24"/>
      <c r="H423" s="25"/>
    </row>
    <row r="424" spans="1:8" ht="12.75" customHeight="1">
      <c r="A424" s="23">
        <v>43630</v>
      </c>
      <c r="B424" s="23"/>
      <c r="C424" s="30">
        <f>ROUND(0.114031656569338,6)</f>
        <v>0.114032</v>
      </c>
      <c r="D424" s="30">
        <f>F424</f>
        <v>0.132064</v>
      </c>
      <c r="E424" s="30">
        <f>F424</f>
        <v>0.132064</v>
      </c>
      <c r="F424" s="30">
        <f>ROUND(0.132064,6)</f>
        <v>0.132064</v>
      </c>
      <c r="G424" s="24"/>
      <c r="H424" s="25"/>
    </row>
    <row r="425" spans="1:8" ht="12.75" customHeight="1">
      <c r="A425" s="23">
        <v>43724</v>
      </c>
      <c r="B425" s="23"/>
      <c r="C425" s="30">
        <f>ROUND(0.114031656569338,6)</f>
        <v>0.114032</v>
      </c>
      <c r="D425" s="30">
        <f>F425</f>
        <v>0.134268</v>
      </c>
      <c r="E425" s="30">
        <f>F425</f>
        <v>0.134268</v>
      </c>
      <c r="F425" s="30">
        <f>ROUND(0.134268,6)</f>
        <v>0.134268</v>
      </c>
      <c r="G425" s="24"/>
      <c r="H425" s="25"/>
    </row>
    <row r="426" spans="1:8" ht="12.75" customHeight="1">
      <c r="A426" s="23" t="s">
        <v>78</v>
      </c>
      <c r="B426" s="23"/>
      <c r="C426" s="28"/>
      <c r="D426" s="28"/>
      <c r="E426" s="28"/>
      <c r="F426" s="28"/>
      <c r="G426" s="24"/>
      <c r="H426" s="25"/>
    </row>
    <row r="427" spans="1:8" ht="12.75" customHeight="1">
      <c r="A427" s="23">
        <v>43087</v>
      </c>
      <c r="B427" s="23"/>
      <c r="C427" s="26">
        <f>ROUND(0.124239679987602,4)</f>
        <v>0.1242</v>
      </c>
      <c r="D427" s="26">
        <f>F427</f>
        <v>0.1243</v>
      </c>
      <c r="E427" s="26">
        <f>F427</f>
        <v>0.1243</v>
      </c>
      <c r="F427" s="26">
        <f>ROUND(0.1243,4)</f>
        <v>0.1243</v>
      </c>
      <c r="G427" s="24"/>
      <c r="H427" s="25"/>
    </row>
    <row r="428" spans="1:8" ht="12.75" customHeight="1">
      <c r="A428" s="23">
        <v>43178</v>
      </c>
      <c r="B428" s="23"/>
      <c r="C428" s="26">
        <f>ROUND(0.124239679987602,4)</f>
        <v>0.1242</v>
      </c>
      <c r="D428" s="26">
        <f>F428</f>
        <v>0.1242</v>
      </c>
      <c r="E428" s="26">
        <f>F428</f>
        <v>0.1242</v>
      </c>
      <c r="F428" s="26">
        <f>ROUND(0.1242,4)</f>
        <v>0.1242</v>
      </c>
      <c r="G428" s="24"/>
      <c r="H428" s="25"/>
    </row>
    <row r="429" spans="1:8" ht="12.75" customHeight="1">
      <c r="A429" s="23">
        <v>43269</v>
      </c>
      <c r="B429" s="23"/>
      <c r="C429" s="26">
        <f>ROUND(0.124239679987602,4)</f>
        <v>0.1242</v>
      </c>
      <c r="D429" s="26">
        <f>F429</f>
        <v>0.1239</v>
      </c>
      <c r="E429" s="26">
        <f>F429</f>
        <v>0.1239</v>
      </c>
      <c r="F429" s="26">
        <f>ROUND(0.1239,4)</f>
        <v>0.1239</v>
      </c>
      <c r="G429" s="24"/>
      <c r="H429" s="25"/>
    </row>
    <row r="430" spans="1:8" ht="12.75" customHeight="1">
      <c r="A430" s="23">
        <v>43360</v>
      </c>
      <c r="B430" s="23"/>
      <c r="C430" s="26">
        <f>ROUND(0.124239679987602,4)</f>
        <v>0.1242</v>
      </c>
      <c r="D430" s="26">
        <f>F430</f>
        <v>0.1238</v>
      </c>
      <c r="E430" s="26">
        <f>F430</f>
        <v>0.1238</v>
      </c>
      <c r="F430" s="26">
        <f>ROUND(0.1238,4)</f>
        <v>0.1238</v>
      </c>
      <c r="G430" s="24"/>
      <c r="H430" s="25"/>
    </row>
    <row r="431" spans="1:8" ht="12.75" customHeight="1">
      <c r="A431" s="23">
        <v>43448</v>
      </c>
      <c r="B431" s="23"/>
      <c r="C431" s="26">
        <f>ROUND(0.124239679987602,4)</f>
        <v>0.1242</v>
      </c>
      <c r="D431" s="26">
        <f>F431</f>
        <v>0.122</v>
      </c>
      <c r="E431" s="26">
        <f>F431</f>
        <v>0.122</v>
      </c>
      <c r="F431" s="26">
        <f>ROUND(0.122,4)</f>
        <v>0.122</v>
      </c>
      <c r="G431" s="24"/>
      <c r="H431" s="25"/>
    </row>
    <row r="432" spans="1:8" ht="12.75" customHeight="1">
      <c r="A432" s="23">
        <v>43542</v>
      </c>
      <c r="B432" s="23"/>
      <c r="C432" s="26">
        <f>ROUND(0.124239679987602,4)</f>
        <v>0.1242</v>
      </c>
      <c r="D432" s="26">
        <f>F432</f>
        <v>0.1202</v>
      </c>
      <c r="E432" s="26">
        <f>F432</f>
        <v>0.1202</v>
      </c>
      <c r="F432" s="26">
        <f>ROUND(0.1202,4)</f>
        <v>0.1202</v>
      </c>
      <c r="G432" s="24"/>
      <c r="H432" s="25"/>
    </row>
    <row r="433" spans="1:8" ht="12.75" customHeight="1">
      <c r="A433" s="23">
        <v>43630</v>
      </c>
      <c r="B433" s="23"/>
      <c r="C433" s="26">
        <f>ROUND(0.124239679987602,4)</f>
        <v>0.1242</v>
      </c>
      <c r="D433" s="26">
        <f>F433</f>
        <v>0.124</v>
      </c>
      <c r="E433" s="26">
        <f>F433</f>
        <v>0.124</v>
      </c>
      <c r="F433" s="26">
        <f>ROUND(0.124,4)</f>
        <v>0.124</v>
      </c>
      <c r="G433" s="24"/>
      <c r="H433" s="25"/>
    </row>
    <row r="434" spans="1:8" ht="12.75" customHeight="1">
      <c r="A434" s="23">
        <v>43724</v>
      </c>
      <c r="B434" s="23"/>
      <c r="C434" s="26">
        <f>ROUND(0.124239679987602,4)</f>
        <v>0.1242</v>
      </c>
      <c r="D434" s="26">
        <f>F434</f>
        <v>0.1191</v>
      </c>
      <c r="E434" s="26">
        <f>F434</f>
        <v>0.1191</v>
      </c>
      <c r="F434" s="26">
        <f>ROUND(0.1191,4)</f>
        <v>0.1191</v>
      </c>
      <c r="G434" s="24"/>
      <c r="H434" s="25"/>
    </row>
    <row r="435" spans="1:8" ht="12.75" customHeight="1">
      <c r="A435" s="23" t="s">
        <v>79</v>
      </c>
      <c r="B435" s="23"/>
      <c r="C435" s="28"/>
      <c r="D435" s="28"/>
      <c r="E435" s="28"/>
      <c r="F435" s="28"/>
      <c r="G435" s="24"/>
      <c r="H435" s="25"/>
    </row>
    <row r="436" spans="1:8" ht="12.75" customHeight="1">
      <c r="A436" s="23">
        <v>43087</v>
      </c>
      <c r="B436" s="23"/>
      <c r="C436" s="26">
        <f>ROUND(1.54055728967125,4)</f>
        <v>1.5406</v>
      </c>
      <c r="D436" s="26">
        <f>F436</f>
        <v>1.5406</v>
      </c>
      <c r="E436" s="26">
        <f>F436</f>
        <v>1.5406</v>
      </c>
      <c r="F436" s="26">
        <f>ROUND(1.5406,4)</f>
        <v>1.5406</v>
      </c>
      <c r="G436" s="24"/>
      <c r="H436" s="25"/>
    </row>
    <row r="437" spans="1:8" ht="12.75" customHeight="1">
      <c r="A437" s="23">
        <v>43178</v>
      </c>
      <c r="B437" s="23"/>
      <c r="C437" s="26">
        <f>ROUND(1.54055728967125,4)</f>
        <v>1.5406</v>
      </c>
      <c r="D437" s="26">
        <f>F437</f>
        <v>1.5691</v>
      </c>
      <c r="E437" s="26">
        <f>F437</f>
        <v>1.5691</v>
      </c>
      <c r="F437" s="26">
        <f>ROUND(1.5691,4)</f>
        <v>1.5691</v>
      </c>
      <c r="G437" s="24"/>
      <c r="H437" s="25"/>
    </row>
    <row r="438" spans="1:8" ht="12.75" customHeight="1">
      <c r="A438" s="23">
        <v>43269</v>
      </c>
      <c r="B438" s="23"/>
      <c r="C438" s="26">
        <f>ROUND(1.54055728967125,4)</f>
        <v>1.5406</v>
      </c>
      <c r="D438" s="26">
        <f>F438</f>
        <v>1.5954</v>
      </c>
      <c r="E438" s="26">
        <f>F438</f>
        <v>1.5954</v>
      </c>
      <c r="F438" s="26">
        <f>ROUND(1.5954,4)</f>
        <v>1.5954</v>
      </c>
      <c r="G438" s="24"/>
      <c r="H438" s="25"/>
    </row>
    <row r="439" spans="1:8" ht="12.75" customHeight="1">
      <c r="A439" s="23">
        <v>43360</v>
      </c>
      <c r="B439" s="23"/>
      <c r="C439" s="26">
        <f>ROUND(1.54055728967125,4)</f>
        <v>1.5406</v>
      </c>
      <c r="D439" s="26">
        <f>F439</f>
        <v>1.6226</v>
      </c>
      <c r="E439" s="26">
        <f>F439</f>
        <v>1.6226</v>
      </c>
      <c r="F439" s="26">
        <f>ROUND(1.6226,4)</f>
        <v>1.6226</v>
      </c>
      <c r="G439" s="24"/>
      <c r="H439" s="25"/>
    </row>
    <row r="440" spans="1:8" ht="12.75" customHeight="1">
      <c r="A440" s="23">
        <v>43630</v>
      </c>
      <c r="B440" s="23"/>
      <c r="C440" s="26">
        <f>ROUND(1.54055728967125,4)</f>
        <v>1.5406</v>
      </c>
      <c r="D440" s="26">
        <f>F440</f>
        <v>1.7097</v>
      </c>
      <c r="E440" s="26">
        <f>F440</f>
        <v>1.7097</v>
      </c>
      <c r="F440" s="26">
        <v>1.7097</v>
      </c>
      <c r="G440" s="24"/>
      <c r="H440" s="25"/>
    </row>
    <row r="441" spans="1:8" ht="12.75" customHeight="1">
      <c r="A441" s="23">
        <v>43724</v>
      </c>
      <c r="B441" s="23"/>
      <c r="C441" s="26">
        <f>ROUND(1.54055728967125,4)</f>
        <v>1.5406</v>
      </c>
      <c r="D441" s="26">
        <f>F441</f>
        <v>1.7435</v>
      </c>
      <c r="E441" s="26">
        <f>F441</f>
        <v>1.7435</v>
      </c>
      <c r="F441" s="26">
        <f>ROUND(1.7435,4)</f>
        <v>1.7435</v>
      </c>
      <c r="G441" s="24"/>
      <c r="H441" s="25"/>
    </row>
    <row r="442" spans="1:8" ht="12.75" customHeight="1">
      <c r="A442" s="23" t="s">
        <v>80</v>
      </c>
      <c r="B442" s="23"/>
      <c r="C442" s="28"/>
      <c r="D442" s="28"/>
      <c r="E442" s="28"/>
      <c r="F442" s="28"/>
      <c r="G442" s="24"/>
      <c r="H442" s="25"/>
    </row>
    <row r="443" spans="1:8" ht="12.75" customHeight="1">
      <c r="A443" s="23">
        <v>43087</v>
      </c>
      <c r="B443" s="23"/>
      <c r="C443" s="26">
        <f>ROUND(8.98914439125,4)</f>
        <v>8.9891</v>
      </c>
      <c r="D443" s="26">
        <f>F443</f>
        <v>8.9891</v>
      </c>
      <c r="E443" s="26">
        <f>F443</f>
        <v>8.9891</v>
      </c>
      <c r="F443" s="26">
        <f>ROUND(8.9891,4)</f>
        <v>8.9891</v>
      </c>
      <c r="G443" s="24"/>
      <c r="H443" s="25"/>
    </row>
    <row r="444" spans="1:8" ht="12.75" customHeight="1">
      <c r="A444" s="23">
        <v>43178</v>
      </c>
      <c r="B444" s="23"/>
      <c r="C444" s="26">
        <f>ROUND(8.98914439125,4)</f>
        <v>8.9891</v>
      </c>
      <c r="D444" s="26">
        <f>F444</f>
        <v>9.101</v>
      </c>
      <c r="E444" s="26">
        <f>F444</f>
        <v>9.101</v>
      </c>
      <c r="F444" s="26">
        <f>ROUND(9.101,4)</f>
        <v>9.101</v>
      </c>
      <c r="G444" s="24"/>
      <c r="H444" s="25"/>
    </row>
    <row r="445" spans="1:8" ht="12.75" customHeight="1">
      <c r="A445" s="23">
        <v>43269</v>
      </c>
      <c r="B445" s="23"/>
      <c r="C445" s="26">
        <f>ROUND(8.98914439125,4)</f>
        <v>8.9891</v>
      </c>
      <c r="D445" s="26">
        <f>F445</f>
        <v>9.2197</v>
      </c>
      <c r="E445" s="26">
        <f>F445</f>
        <v>9.2197</v>
      </c>
      <c r="F445" s="26">
        <f>ROUND(9.2197,4)</f>
        <v>9.2197</v>
      </c>
      <c r="G445" s="24"/>
      <c r="H445" s="25"/>
    </row>
    <row r="446" spans="1:8" ht="12.75" customHeight="1">
      <c r="A446" s="23">
        <v>43360</v>
      </c>
      <c r="B446" s="23"/>
      <c r="C446" s="26">
        <f>ROUND(8.98914439125,4)</f>
        <v>8.9891</v>
      </c>
      <c r="D446" s="26">
        <f>F446</f>
        <v>9.3417</v>
      </c>
      <c r="E446" s="26">
        <f>F446</f>
        <v>9.3417</v>
      </c>
      <c r="F446" s="26">
        <f>ROUND(9.3417,4)</f>
        <v>9.3417</v>
      </c>
      <c r="G446" s="24"/>
      <c r="H446" s="25"/>
    </row>
    <row r="447" spans="1:8" ht="12.75" customHeight="1">
      <c r="A447" s="23">
        <v>43448</v>
      </c>
      <c r="B447" s="23"/>
      <c r="C447" s="26">
        <f>ROUND(8.98914439125,4)</f>
        <v>8.9891</v>
      </c>
      <c r="D447" s="26">
        <f>F447</f>
        <v>9.8778</v>
      </c>
      <c r="E447" s="26">
        <f>F447</f>
        <v>9.8778</v>
      </c>
      <c r="F447" s="26">
        <f>ROUND(9.8778,4)</f>
        <v>9.8778</v>
      </c>
      <c r="G447" s="24"/>
      <c r="H447" s="25"/>
    </row>
    <row r="448" spans="1:8" ht="12.75" customHeight="1">
      <c r="A448" s="23">
        <v>43542</v>
      </c>
      <c r="B448" s="23"/>
      <c r="C448" s="26">
        <f>ROUND(8.98914439125,4)</f>
        <v>8.9891</v>
      </c>
      <c r="D448" s="26">
        <f>F448</f>
        <v>10.0057</v>
      </c>
      <c r="E448" s="26">
        <f>F448</f>
        <v>10.0057</v>
      </c>
      <c r="F448" s="26">
        <f>ROUND(10.0057,4)</f>
        <v>10.0057</v>
      </c>
      <c r="G448" s="24"/>
      <c r="H448" s="25"/>
    </row>
    <row r="449" spans="1:8" ht="12.75" customHeight="1">
      <c r="A449" s="23">
        <v>43630</v>
      </c>
      <c r="B449" s="23"/>
      <c r="C449" s="26">
        <f>ROUND(8.98914439125,4)</f>
        <v>8.9891</v>
      </c>
      <c r="D449" s="26">
        <f>F449</f>
        <v>10.163</v>
      </c>
      <c r="E449" s="26">
        <f>F449</f>
        <v>10.163</v>
      </c>
      <c r="F449" s="26">
        <f>ROUND(10.163,4)</f>
        <v>10.163</v>
      </c>
      <c r="G449" s="24"/>
      <c r="H449" s="25"/>
    </row>
    <row r="450" spans="1:8" ht="12.75" customHeight="1">
      <c r="A450" s="23">
        <v>43724</v>
      </c>
      <c r="B450" s="23"/>
      <c r="C450" s="26">
        <f>ROUND(8.98914439125,4)</f>
        <v>8.9891</v>
      </c>
      <c r="D450" s="26">
        <f>F450</f>
        <v>10.3111</v>
      </c>
      <c r="E450" s="26">
        <f>F450</f>
        <v>10.3111</v>
      </c>
      <c r="F450" s="26">
        <f>ROUND(10.3111,4)</f>
        <v>10.3111</v>
      </c>
      <c r="G450" s="24"/>
      <c r="H450" s="25"/>
    </row>
    <row r="451" spans="1:8" ht="12.75" customHeight="1">
      <c r="A451" s="23" t="s">
        <v>81</v>
      </c>
      <c r="B451" s="23"/>
      <c r="C451" s="28"/>
      <c r="D451" s="28"/>
      <c r="E451" s="28"/>
      <c r="F451" s="28"/>
      <c r="G451" s="24"/>
      <c r="H451" s="25"/>
    </row>
    <row r="452" spans="1:8" ht="12.75" customHeight="1">
      <c r="A452" s="23">
        <v>43087</v>
      </c>
      <c r="B452" s="23"/>
      <c r="C452" s="26">
        <f>ROUND(9.51721144536076,4)</f>
        <v>9.5172</v>
      </c>
      <c r="D452" s="26">
        <f>F452</f>
        <v>9.5172</v>
      </c>
      <c r="E452" s="26">
        <f>F452</f>
        <v>9.5172</v>
      </c>
      <c r="F452" s="26">
        <f>ROUND(9.5172,4)</f>
        <v>9.5172</v>
      </c>
      <c r="G452" s="24"/>
      <c r="H452" s="25"/>
    </row>
    <row r="453" spans="1:8" ht="12.75" customHeight="1">
      <c r="A453" s="23">
        <v>43178</v>
      </c>
      <c r="B453" s="23"/>
      <c r="C453" s="26">
        <f>ROUND(9.51721144536076,4)</f>
        <v>9.5172</v>
      </c>
      <c r="D453" s="26">
        <f>F453</f>
        <v>9.6608</v>
      </c>
      <c r="E453" s="26">
        <f>F453</f>
        <v>9.6608</v>
      </c>
      <c r="F453" s="26">
        <f>ROUND(9.6608,4)</f>
        <v>9.6608</v>
      </c>
      <c r="G453" s="24"/>
      <c r="H453" s="25"/>
    </row>
    <row r="454" spans="1:8" ht="12.75" customHeight="1">
      <c r="A454" s="23">
        <v>43269</v>
      </c>
      <c r="B454" s="23"/>
      <c r="C454" s="26">
        <f>ROUND(9.51721144536076,4)</f>
        <v>9.5172</v>
      </c>
      <c r="D454" s="26">
        <f>F454</f>
        <v>9.8075</v>
      </c>
      <c r="E454" s="26">
        <f>F454</f>
        <v>9.8075</v>
      </c>
      <c r="F454" s="26">
        <f>ROUND(9.8075,4)</f>
        <v>9.8075</v>
      </c>
      <c r="G454" s="24"/>
      <c r="H454" s="25"/>
    </row>
    <row r="455" spans="1:8" ht="12.75" customHeight="1">
      <c r="A455" s="23">
        <v>43360</v>
      </c>
      <c r="B455" s="23"/>
      <c r="C455" s="26">
        <f>ROUND(9.51721144536076,4)</f>
        <v>9.5172</v>
      </c>
      <c r="D455" s="26">
        <f>F455</f>
        <v>9.958</v>
      </c>
      <c r="E455" s="26">
        <f>F455</f>
        <v>9.958</v>
      </c>
      <c r="F455" s="26">
        <f>ROUND(9.958,4)</f>
        <v>9.958</v>
      </c>
      <c r="G455" s="24"/>
      <c r="H455" s="25"/>
    </row>
    <row r="456" spans="1:8" ht="12.75" customHeight="1">
      <c r="A456" s="23">
        <v>43448</v>
      </c>
      <c r="B456" s="23"/>
      <c r="C456" s="26">
        <f>ROUND(9.51721144536076,4)</f>
        <v>9.5172</v>
      </c>
      <c r="D456" s="26">
        <f>F456</f>
        <v>10.5497</v>
      </c>
      <c r="E456" s="26">
        <f>F456</f>
        <v>10.5497</v>
      </c>
      <c r="F456" s="26">
        <f>ROUND(10.5497,4)</f>
        <v>10.5497</v>
      </c>
      <c r="G456" s="24"/>
      <c r="H456" s="25"/>
    </row>
    <row r="457" spans="1:8" ht="12.75" customHeight="1">
      <c r="A457" s="23">
        <v>43542</v>
      </c>
      <c r="B457" s="23"/>
      <c r="C457" s="26">
        <f>ROUND(9.51721144536076,4)</f>
        <v>9.5172</v>
      </c>
      <c r="D457" s="26">
        <f>F457</f>
        <v>10.7104</v>
      </c>
      <c r="E457" s="26">
        <f>F457</f>
        <v>10.7104</v>
      </c>
      <c r="F457" s="26">
        <f>ROUND(10.7104,4)</f>
        <v>10.7104</v>
      </c>
      <c r="G457" s="24"/>
      <c r="H457" s="25"/>
    </row>
    <row r="458" spans="1:8" ht="12.75" customHeight="1">
      <c r="A458" s="23">
        <v>43630</v>
      </c>
      <c r="B458" s="23"/>
      <c r="C458" s="26">
        <f>ROUND(9.51721144536076,4)</f>
        <v>9.5172</v>
      </c>
      <c r="D458" s="26">
        <f>F458</f>
        <v>10.8916</v>
      </c>
      <c r="E458" s="26">
        <f>F458</f>
        <v>10.8916</v>
      </c>
      <c r="F458" s="26">
        <f>ROUND(10.8916,4)</f>
        <v>10.8916</v>
      </c>
      <c r="G458" s="24"/>
      <c r="H458" s="25"/>
    </row>
    <row r="459" spans="1:8" ht="12.75" customHeight="1">
      <c r="A459" s="23">
        <v>43724</v>
      </c>
      <c r="B459" s="23"/>
      <c r="C459" s="26">
        <f>ROUND(9.51721144536076,4)</f>
        <v>9.5172</v>
      </c>
      <c r="D459" s="26">
        <f>F459</f>
        <v>11.0847</v>
      </c>
      <c r="E459" s="26">
        <f>F459</f>
        <v>11.0847</v>
      </c>
      <c r="F459" s="26">
        <f>ROUND(11.0847,4)</f>
        <v>11.0847</v>
      </c>
      <c r="G459" s="24"/>
      <c r="H459" s="25"/>
    </row>
    <row r="460" spans="1:8" ht="12.75" customHeight="1">
      <c r="A460" s="23" t="s">
        <v>82</v>
      </c>
      <c r="B460" s="23"/>
      <c r="C460" s="28"/>
      <c r="D460" s="28"/>
      <c r="E460" s="28"/>
      <c r="F460" s="28"/>
      <c r="G460" s="24"/>
      <c r="H460" s="25"/>
    </row>
    <row r="461" spans="1:8" ht="12.75" customHeight="1">
      <c r="A461" s="23">
        <v>43087</v>
      </c>
      <c r="B461" s="23"/>
      <c r="C461" s="26">
        <f>ROUND(3.34129981766085,4)</f>
        <v>3.3413</v>
      </c>
      <c r="D461" s="26">
        <f>F461</f>
        <v>3.3413</v>
      </c>
      <c r="E461" s="26">
        <f>F461</f>
        <v>3.3413</v>
      </c>
      <c r="F461" s="26">
        <f>ROUND(3.3413,4)</f>
        <v>3.3413</v>
      </c>
      <c r="G461" s="24"/>
      <c r="H461" s="25"/>
    </row>
    <row r="462" spans="1:8" ht="12.75" customHeight="1">
      <c r="A462" s="23">
        <v>43178</v>
      </c>
      <c r="B462" s="23"/>
      <c r="C462" s="26">
        <f>ROUND(3.34129981766085,4)</f>
        <v>3.3413</v>
      </c>
      <c r="D462" s="26">
        <f>F462</f>
        <v>3.3001</v>
      </c>
      <c r="E462" s="26">
        <f>F462</f>
        <v>3.3001</v>
      </c>
      <c r="F462" s="26">
        <f>ROUND(3.3001,4)</f>
        <v>3.3001</v>
      </c>
      <c r="G462" s="24"/>
      <c r="H462" s="25"/>
    </row>
    <row r="463" spans="1:8" ht="12.75" customHeight="1">
      <c r="A463" s="23">
        <v>43269</v>
      </c>
      <c r="B463" s="23"/>
      <c r="C463" s="26">
        <f>ROUND(3.34129981766085,4)</f>
        <v>3.3413</v>
      </c>
      <c r="D463" s="26">
        <f>F463</f>
        <v>3.2524</v>
      </c>
      <c r="E463" s="26">
        <f>F463</f>
        <v>3.2524</v>
      </c>
      <c r="F463" s="26">
        <f>ROUND(3.2524,4)</f>
        <v>3.2524</v>
      </c>
      <c r="G463" s="24"/>
      <c r="H463" s="25"/>
    </row>
    <row r="464" spans="1:8" ht="12.75" customHeight="1">
      <c r="A464" s="23">
        <v>43360</v>
      </c>
      <c r="B464" s="23"/>
      <c r="C464" s="26">
        <f>ROUND(3.34129981766085,4)</f>
        <v>3.3413</v>
      </c>
      <c r="D464" s="26">
        <f>F464</f>
        <v>3.2044</v>
      </c>
      <c r="E464" s="26">
        <f>F464</f>
        <v>3.2044</v>
      </c>
      <c r="F464" s="26">
        <f>ROUND(3.2044,4)</f>
        <v>3.2044</v>
      </c>
      <c r="G464" s="24"/>
      <c r="H464" s="25"/>
    </row>
    <row r="465" spans="1:8" ht="12.75" customHeight="1">
      <c r="A465" s="23">
        <v>43448</v>
      </c>
      <c r="B465" s="23"/>
      <c r="C465" s="26">
        <f>ROUND(3.34129981766085,4)</f>
        <v>3.3413</v>
      </c>
      <c r="D465" s="26">
        <f>F465</f>
        <v>3.2996</v>
      </c>
      <c r="E465" s="26">
        <f>F465</f>
        <v>3.2996</v>
      </c>
      <c r="F465" s="26">
        <f>ROUND(3.2996,4)</f>
        <v>3.2996</v>
      </c>
      <c r="G465" s="24"/>
      <c r="H465" s="25"/>
    </row>
    <row r="466" spans="1:8" ht="12.75" customHeight="1">
      <c r="A466" s="23">
        <v>43542</v>
      </c>
      <c r="B466" s="23"/>
      <c r="C466" s="26">
        <f>ROUND(3.34129981766085,4)</f>
        <v>3.3413</v>
      </c>
      <c r="D466" s="26">
        <f>F466</f>
        <v>3.2512</v>
      </c>
      <c r="E466" s="26">
        <f>F466</f>
        <v>3.2512</v>
      </c>
      <c r="F466" s="26">
        <f>ROUND(3.2512,4)</f>
        <v>3.2512</v>
      </c>
      <c r="G466" s="24"/>
      <c r="H466" s="25"/>
    </row>
    <row r="467" spans="1:8" ht="12.75" customHeight="1">
      <c r="A467" s="23">
        <v>43630</v>
      </c>
      <c r="B467" s="23"/>
      <c r="C467" s="26">
        <f>ROUND(3.34129981766085,4)</f>
        <v>3.3413</v>
      </c>
      <c r="D467" s="26">
        <f>F467</f>
        <v>3.2202</v>
      </c>
      <c r="E467" s="26">
        <f>F467</f>
        <v>3.2202</v>
      </c>
      <c r="F467" s="26">
        <f>ROUND(3.2202,4)</f>
        <v>3.2202</v>
      </c>
      <c r="G467" s="24"/>
      <c r="H467" s="25"/>
    </row>
    <row r="468" spans="1:8" ht="12.75" customHeight="1">
      <c r="A468" s="23">
        <v>43724</v>
      </c>
      <c r="B468" s="23"/>
      <c r="C468" s="26">
        <f>ROUND(3.34129981766085,4)</f>
        <v>3.3413</v>
      </c>
      <c r="D468" s="26">
        <f>F468</f>
        <v>3.1827</v>
      </c>
      <c r="E468" s="26">
        <f>F468</f>
        <v>3.1827</v>
      </c>
      <c r="F468" s="26">
        <f>ROUND(3.1827,4)</f>
        <v>3.1827</v>
      </c>
      <c r="G468" s="24"/>
      <c r="H468" s="25"/>
    </row>
    <row r="469" spans="1:8" ht="12.75" customHeight="1">
      <c r="A469" s="23" t="s">
        <v>83</v>
      </c>
      <c r="B469" s="23"/>
      <c r="C469" s="28"/>
      <c r="D469" s="28"/>
      <c r="E469" s="28"/>
      <c r="F469" s="28"/>
      <c r="G469" s="24"/>
      <c r="H469" s="25"/>
    </row>
    <row r="470" spans="1:8" ht="12.75" customHeight="1">
      <c r="A470" s="23">
        <v>43087</v>
      </c>
      <c r="B470" s="23"/>
      <c r="C470" s="26">
        <f>ROUND(12.82725,4)</f>
        <v>12.8273</v>
      </c>
      <c r="D470" s="26">
        <f>F470</f>
        <v>12.8273</v>
      </c>
      <c r="E470" s="26">
        <f>F470</f>
        <v>12.8273</v>
      </c>
      <c r="F470" s="26">
        <f>ROUND(12.8273,4)</f>
        <v>12.8273</v>
      </c>
      <c r="G470" s="24"/>
      <c r="H470" s="25"/>
    </row>
    <row r="471" spans="1:8" ht="12.75" customHeight="1">
      <c r="A471" s="23">
        <v>43178</v>
      </c>
      <c r="B471" s="23"/>
      <c r="C471" s="26">
        <f>ROUND(12.82725,4)</f>
        <v>12.8273</v>
      </c>
      <c r="D471" s="26">
        <f>F471</f>
        <v>13.0031</v>
      </c>
      <c r="E471" s="26">
        <f>F471</f>
        <v>13.0031</v>
      </c>
      <c r="F471" s="26">
        <f>ROUND(13.0031,4)</f>
        <v>13.0031</v>
      </c>
      <c r="G471" s="24"/>
      <c r="H471" s="25"/>
    </row>
    <row r="472" spans="1:8" ht="12.75" customHeight="1">
      <c r="A472" s="23">
        <v>43269</v>
      </c>
      <c r="B472" s="23"/>
      <c r="C472" s="26">
        <f>ROUND(12.82725,4)</f>
        <v>12.8273</v>
      </c>
      <c r="D472" s="26">
        <f>F472</f>
        <v>13.1826</v>
      </c>
      <c r="E472" s="26">
        <f>F472</f>
        <v>13.1826</v>
      </c>
      <c r="F472" s="26">
        <f>ROUND(13.1826,4)</f>
        <v>13.1826</v>
      </c>
      <c r="G472" s="24"/>
      <c r="H472" s="25"/>
    </row>
    <row r="473" spans="1:8" ht="12.75" customHeight="1">
      <c r="A473" s="23">
        <v>43360</v>
      </c>
      <c r="B473" s="23"/>
      <c r="C473" s="26">
        <f>ROUND(12.82725,4)</f>
        <v>12.8273</v>
      </c>
      <c r="D473" s="26">
        <f>F473</f>
        <v>13.3641</v>
      </c>
      <c r="E473" s="26">
        <f>F473</f>
        <v>13.3641</v>
      </c>
      <c r="F473" s="26">
        <f>ROUND(13.3641,4)</f>
        <v>13.3641</v>
      </c>
      <c r="G473" s="24"/>
      <c r="H473" s="25"/>
    </row>
    <row r="474" spans="1:8" ht="12.75" customHeight="1">
      <c r="A474" s="23">
        <v>43630</v>
      </c>
      <c r="B474" s="23"/>
      <c r="C474" s="26">
        <f>ROUND(12.82725,4)</f>
        <v>12.8273</v>
      </c>
      <c r="D474" s="26">
        <f>F474</f>
        <v>13.9341</v>
      </c>
      <c r="E474" s="26">
        <f>F474</f>
        <v>13.9341</v>
      </c>
      <c r="F474" s="26">
        <v>13.9341</v>
      </c>
      <c r="G474" s="24"/>
      <c r="H474" s="25"/>
    </row>
    <row r="475" spans="1:8" ht="12.75" customHeight="1">
      <c r="A475" s="23">
        <v>43724</v>
      </c>
      <c r="B475" s="23"/>
      <c r="C475" s="26">
        <f>ROUND(12.82725,4)</f>
        <v>12.8273</v>
      </c>
      <c r="D475" s="26">
        <f>F475</f>
        <v>14.1375</v>
      </c>
      <c r="E475" s="26">
        <f>F475</f>
        <v>14.1375</v>
      </c>
      <c r="F475" s="26">
        <v>14.1375</v>
      </c>
      <c r="G475" s="24"/>
      <c r="H475" s="25"/>
    </row>
    <row r="476" spans="1:8" ht="12.75" customHeight="1">
      <c r="A476" s="23" t="s">
        <v>84</v>
      </c>
      <c r="B476" s="23"/>
      <c r="C476" s="28"/>
      <c r="D476" s="28"/>
      <c r="E476" s="28"/>
      <c r="F476" s="28"/>
      <c r="G476" s="24"/>
      <c r="H476" s="25"/>
    </row>
    <row r="477" spans="1:8" ht="12.75" customHeight="1">
      <c r="A477" s="23">
        <v>43087</v>
      </c>
      <c r="B477" s="23"/>
      <c r="C477" s="26">
        <f>ROUND(12.82725,4)</f>
        <v>12.8273</v>
      </c>
      <c r="D477" s="26">
        <f>F477</f>
        <v>12.8273</v>
      </c>
      <c r="E477" s="26">
        <f>F477</f>
        <v>12.8273</v>
      </c>
      <c r="F477" s="26">
        <f>ROUND(12.8273,4)</f>
        <v>12.8273</v>
      </c>
      <c r="G477" s="24"/>
      <c r="H477" s="25"/>
    </row>
    <row r="478" spans="1:8" ht="12.75" customHeight="1">
      <c r="A478" s="23">
        <v>43175</v>
      </c>
      <c r="B478" s="23"/>
      <c r="C478" s="26">
        <f>ROUND(12.82725,4)</f>
        <v>12.8273</v>
      </c>
      <c r="D478" s="26">
        <f>F478</f>
        <v>17.5004</v>
      </c>
      <c r="E478" s="26">
        <f>F478</f>
        <v>17.5004</v>
      </c>
      <c r="F478" s="26">
        <f>ROUND(17.5004,4)</f>
        <v>17.5004</v>
      </c>
      <c r="G478" s="24"/>
      <c r="H478" s="25"/>
    </row>
    <row r="479" spans="1:8" ht="12.75" customHeight="1">
      <c r="A479" s="23">
        <v>43178</v>
      </c>
      <c r="B479" s="23"/>
      <c r="C479" s="26">
        <f>ROUND(12.82725,4)</f>
        <v>12.8273</v>
      </c>
      <c r="D479" s="26">
        <f>F479</f>
        <v>13.0031</v>
      </c>
      <c r="E479" s="26">
        <f>F479</f>
        <v>13.0031</v>
      </c>
      <c r="F479" s="26">
        <f>ROUND(13.0031,4)</f>
        <v>13.0031</v>
      </c>
      <c r="G479" s="24"/>
      <c r="H479" s="25"/>
    </row>
    <row r="480" spans="1:8" ht="12.75" customHeight="1">
      <c r="A480" s="23">
        <v>43269</v>
      </c>
      <c r="B480" s="23"/>
      <c r="C480" s="26">
        <f>ROUND(12.82725,4)</f>
        <v>12.8273</v>
      </c>
      <c r="D480" s="26">
        <f>F480</f>
        <v>13.1826</v>
      </c>
      <c r="E480" s="26">
        <f>F480</f>
        <v>13.1826</v>
      </c>
      <c r="F480" s="26">
        <f>ROUND(13.1826,4)</f>
        <v>13.1826</v>
      </c>
      <c r="G480" s="24"/>
      <c r="H480" s="25"/>
    </row>
    <row r="481" spans="1:8" ht="12.75" customHeight="1">
      <c r="A481" s="23">
        <v>43360</v>
      </c>
      <c r="B481" s="23"/>
      <c r="C481" s="26">
        <f>ROUND(12.82725,4)</f>
        <v>12.8273</v>
      </c>
      <c r="D481" s="26">
        <f>F481</f>
        <v>13.3641</v>
      </c>
      <c r="E481" s="26">
        <f>F481</f>
        <v>13.3641</v>
      </c>
      <c r="F481" s="26">
        <f>ROUND(13.3641,4)</f>
        <v>13.3641</v>
      </c>
      <c r="G481" s="24"/>
      <c r="H481" s="25"/>
    </row>
    <row r="482" spans="1:8" ht="12.75" customHeight="1">
      <c r="A482" s="23">
        <v>43448</v>
      </c>
      <c r="B482" s="23"/>
      <c r="C482" s="26">
        <f>ROUND(12.82725,4)</f>
        <v>12.8273</v>
      </c>
      <c r="D482" s="26">
        <f>F482</f>
        <v>13.5433</v>
      </c>
      <c r="E482" s="26">
        <f>F482</f>
        <v>13.5433</v>
      </c>
      <c r="F482" s="26">
        <f>ROUND(13.5433,4)</f>
        <v>13.5433</v>
      </c>
      <c r="G482" s="24"/>
      <c r="H482" s="25"/>
    </row>
    <row r="483" spans="1:8" ht="12.75" customHeight="1">
      <c r="A483" s="23">
        <v>43542</v>
      </c>
      <c r="B483" s="23"/>
      <c r="C483" s="26">
        <f>ROUND(12.82725,4)</f>
        <v>12.8273</v>
      </c>
      <c r="D483" s="26">
        <f>F483</f>
        <v>13.7452</v>
      </c>
      <c r="E483" s="26">
        <f>F483</f>
        <v>13.7452</v>
      </c>
      <c r="F483" s="26">
        <f>ROUND(13.7452,4)</f>
        <v>13.7452</v>
      </c>
      <c r="G483" s="24"/>
      <c r="H483" s="25"/>
    </row>
    <row r="484" spans="1:8" ht="12.75" customHeight="1">
      <c r="A484" s="23">
        <v>43630</v>
      </c>
      <c r="B484" s="23"/>
      <c r="C484" s="26">
        <f>ROUND(12.82725,4)</f>
        <v>12.8273</v>
      </c>
      <c r="D484" s="26">
        <f>F484</f>
        <v>13.9349</v>
      </c>
      <c r="E484" s="26">
        <f>F484</f>
        <v>13.9349</v>
      </c>
      <c r="F484" s="26">
        <f>ROUND(13.9349,4)</f>
        <v>13.9349</v>
      </c>
      <c r="G484" s="24"/>
      <c r="H484" s="25"/>
    </row>
    <row r="485" spans="1:8" ht="12.75" customHeight="1">
      <c r="A485" s="23">
        <v>43724</v>
      </c>
      <c r="B485" s="23"/>
      <c r="C485" s="26">
        <f>ROUND(12.82725,4)</f>
        <v>12.8273</v>
      </c>
      <c r="D485" s="26">
        <f>F485</f>
        <v>14.1375</v>
      </c>
      <c r="E485" s="26">
        <f>F485</f>
        <v>14.1375</v>
      </c>
      <c r="F485" s="26">
        <f>ROUND(14.1375,4)</f>
        <v>14.1375</v>
      </c>
      <c r="G485" s="24"/>
      <c r="H485" s="25"/>
    </row>
    <row r="486" spans="1:8" ht="12.75" customHeight="1">
      <c r="A486" s="23">
        <v>43812</v>
      </c>
      <c r="B486" s="23"/>
      <c r="C486" s="26">
        <f>ROUND(12.82725,4)</f>
        <v>12.8273</v>
      </c>
      <c r="D486" s="26">
        <f>F486</f>
        <v>14.3272</v>
      </c>
      <c r="E486" s="26">
        <f>F486</f>
        <v>14.3272</v>
      </c>
      <c r="F486" s="26">
        <f>ROUND(14.3272,4)</f>
        <v>14.3272</v>
      </c>
      <c r="G486" s="24"/>
      <c r="H486" s="25"/>
    </row>
    <row r="487" spans="1:8" ht="12.75" customHeight="1">
      <c r="A487" s="23">
        <v>43906</v>
      </c>
      <c r="B487" s="23"/>
      <c r="C487" s="26">
        <f>ROUND(12.82725,4)</f>
        <v>12.8273</v>
      </c>
      <c r="D487" s="26">
        <f>F487</f>
        <v>14.5587</v>
      </c>
      <c r="E487" s="26">
        <f>F487</f>
        <v>14.5587</v>
      </c>
      <c r="F487" s="26">
        <f>ROUND(14.5587,4)</f>
        <v>14.5587</v>
      </c>
      <c r="G487" s="24"/>
      <c r="H487" s="25"/>
    </row>
    <row r="488" spans="1:8" ht="12.75" customHeight="1">
      <c r="A488" s="23">
        <v>43994</v>
      </c>
      <c r="B488" s="23"/>
      <c r="C488" s="26">
        <f>ROUND(12.82725,4)</f>
        <v>12.8273</v>
      </c>
      <c r="D488" s="26">
        <f>F488</f>
        <v>14.7776</v>
      </c>
      <c r="E488" s="26">
        <f>F488</f>
        <v>14.7776</v>
      </c>
      <c r="F488" s="26">
        <f>ROUND(14.7776,4)</f>
        <v>14.7776</v>
      </c>
      <c r="G488" s="24"/>
      <c r="H488" s="25"/>
    </row>
    <row r="489" spans="1:8" ht="12.75" customHeight="1">
      <c r="A489" s="23">
        <v>44088</v>
      </c>
      <c r="B489" s="23"/>
      <c r="C489" s="26">
        <f>ROUND(12.82725,4)</f>
        <v>12.8273</v>
      </c>
      <c r="D489" s="26">
        <f>F489</f>
        <v>15.0114</v>
      </c>
      <c r="E489" s="26">
        <f>F489</f>
        <v>15.0114</v>
      </c>
      <c r="F489" s="26">
        <f>ROUND(15.0114,4)</f>
        <v>15.0114</v>
      </c>
      <c r="G489" s="24"/>
      <c r="H489" s="25"/>
    </row>
    <row r="490" spans="1:8" ht="12.75" customHeight="1">
      <c r="A490" s="23">
        <v>44179</v>
      </c>
      <c r="B490" s="23"/>
      <c r="C490" s="26">
        <f>ROUND(12.82725,4)</f>
        <v>12.8273</v>
      </c>
      <c r="D490" s="26">
        <f>F490</f>
        <v>15.2378</v>
      </c>
      <c r="E490" s="26">
        <f>F490</f>
        <v>15.2378</v>
      </c>
      <c r="F490" s="26">
        <f>ROUND(15.2378,4)</f>
        <v>15.2378</v>
      </c>
      <c r="G490" s="24"/>
      <c r="H490" s="25"/>
    </row>
    <row r="491" spans="1:8" ht="12.75" customHeight="1">
      <c r="A491" s="23" t="s">
        <v>85</v>
      </c>
      <c r="B491" s="23"/>
      <c r="C491" s="28"/>
      <c r="D491" s="28"/>
      <c r="E491" s="28"/>
      <c r="F491" s="28"/>
      <c r="G491" s="24"/>
      <c r="H491" s="25"/>
    </row>
    <row r="492" spans="1:8" ht="12.75" customHeight="1">
      <c r="A492" s="23">
        <v>43087</v>
      </c>
      <c r="B492" s="23"/>
      <c r="C492" s="26">
        <f>ROUND(1.28710114388922,4)</f>
        <v>1.2871</v>
      </c>
      <c r="D492" s="26">
        <f>F492</f>
        <v>1.2911</v>
      </c>
      <c r="E492" s="26">
        <f>F492</f>
        <v>1.2911</v>
      </c>
      <c r="F492" s="26">
        <f>ROUND(1.2911,4)</f>
        <v>1.2911</v>
      </c>
      <c r="G492" s="24"/>
      <c r="H492" s="25"/>
    </row>
    <row r="493" spans="1:8" ht="12.75" customHeight="1">
      <c r="A493" s="23">
        <v>43178</v>
      </c>
      <c r="B493" s="23"/>
      <c r="C493" s="26">
        <f>ROUND(1.28710114388922,4)</f>
        <v>1.2871</v>
      </c>
      <c r="D493" s="26">
        <f>F493</f>
        <v>1.2664</v>
      </c>
      <c r="E493" s="26">
        <f>F493</f>
        <v>1.2664</v>
      </c>
      <c r="F493" s="26">
        <f>ROUND(1.2664,4)</f>
        <v>1.2664</v>
      </c>
      <c r="G493" s="24"/>
      <c r="H493" s="25"/>
    </row>
    <row r="494" spans="1:8" ht="12.75" customHeight="1">
      <c r="A494" s="23">
        <v>43269</v>
      </c>
      <c r="B494" s="23"/>
      <c r="C494" s="26">
        <f>ROUND(1.28710114388922,4)</f>
        <v>1.2871</v>
      </c>
      <c r="D494" s="26">
        <f>F494</f>
        <v>1.2472</v>
      </c>
      <c r="E494" s="26">
        <f>F494</f>
        <v>1.2472</v>
      </c>
      <c r="F494" s="26">
        <f>ROUND(1.2472,4)</f>
        <v>1.2472</v>
      </c>
      <c r="G494" s="24"/>
      <c r="H494" s="25"/>
    </row>
    <row r="495" spans="1:8" ht="12.75" customHeight="1">
      <c r="A495" s="23">
        <v>43360</v>
      </c>
      <c r="B495" s="23"/>
      <c r="C495" s="26">
        <f>ROUND(1.28710114388922,4)</f>
        <v>1.2871</v>
      </c>
      <c r="D495" s="26">
        <f>F495</f>
        <v>1.2297</v>
      </c>
      <c r="E495" s="26">
        <f>F495</f>
        <v>1.2297</v>
      </c>
      <c r="F495" s="26">
        <f>ROUND(1.2297,4)</f>
        <v>1.2297</v>
      </c>
      <c r="G495" s="24"/>
      <c r="H495" s="25"/>
    </row>
    <row r="496" spans="1:8" ht="12.75" customHeight="1">
      <c r="A496" s="23">
        <v>43448</v>
      </c>
      <c r="B496" s="23"/>
      <c r="C496" s="26">
        <f>ROUND(1.28710114388922,4)</f>
        <v>1.2871</v>
      </c>
      <c r="D496" s="26">
        <f>F496</f>
        <v>1.2148</v>
      </c>
      <c r="E496" s="26">
        <f>F496</f>
        <v>1.2148</v>
      </c>
      <c r="F496" s="26">
        <f>ROUND(1.2148,4)</f>
        <v>1.2148</v>
      </c>
      <c r="G496" s="24"/>
      <c r="H496" s="25"/>
    </row>
    <row r="497" spans="1:8" ht="12.75" customHeight="1">
      <c r="A497" s="23">
        <v>43630</v>
      </c>
      <c r="B497" s="23"/>
      <c r="C497" s="26">
        <f>ROUND(1.28710114388922,4)</f>
        <v>1.2871</v>
      </c>
      <c r="D497" s="26">
        <f>F497</f>
        <v>1.2164</v>
      </c>
      <c r="E497" s="26">
        <f>F497</f>
        <v>1.2164</v>
      </c>
      <c r="F497" s="26">
        <f>ROUND(1.2164,4)</f>
        <v>1.2164</v>
      </c>
      <c r="G497" s="24"/>
      <c r="H497" s="25"/>
    </row>
    <row r="498" spans="1:8" ht="12.75" customHeight="1">
      <c r="A498" s="23">
        <v>43724</v>
      </c>
      <c r="B498" s="23"/>
      <c r="C498" s="26">
        <f>ROUND(1.28710114388922,4)</f>
        <v>1.2871</v>
      </c>
      <c r="D498" s="26">
        <f>F498</f>
        <v>1.2269</v>
      </c>
      <c r="E498" s="26">
        <f>F498</f>
        <v>1.2269</v>
      </c>
      <c r="F498" s="26">
        <f>ROUND(1.2269,4)</f>
        <v>1.2269</v>
      </c>
      <c r="G498" s="24"/>
      <c r="H498" s="25"/>
    </row>
    <row r="499" spans="1:8" ht="12.75" customHeight="1">
      <c r="A499" s="23" t="s">
        <v>86</v>
      </c>
      <c r="B499" s="23"/>
      <c r="C499" s="28"/>
      <c r="D499" s="28"/>
      <c r="E499" s="28"/>
      <c r="F499" s="28"/>
      <c r="G499" s="24"/>
      <c r="H499" s="25"/>
    </row>
    <row r="500" spans="1:8" ht="12.75" customHeight="1">
      <c r="A500" s="23">
        <v>43132</v>
      </c>
      <c r="B500" s="23"/>
      <c r="C500" s="29">
        <f>ROUND(627.411,3)</f>
        <v>627.411</v>
      </c>
      <c r="D500" s="29">
        <f>F500</f>
        <v>633.093</v>
      </c>
      <c r="E500" s="29">
        <f>F500</f>
        <v>633.093</v>
      </c>
      <c r="F500" s="29">
        <f>ROUND(633.093,3)</f>
        <v>633.093</v>
      </c>
      <c r="G500" s="24"/>
      <c r="H500" s="25"/>
    </row>
    <row r="501" spans="1:8" ht="12.75" customHeight="1">
      <c r="A501" s="23">
        <v>43223</v>
      </c>
      <c r="B501" s="23"/>
      <c r="C501" s="29">
        <f>ROUND(627.411,3)</f>
        <v>627.411</v>
      </c>
      <c r="D501" s="29">
        <f>F501</f>
        <v>644.918</v>
      </c>
      <c r="E501" s="29">
        <f>F501</f>
        <v>644.918</v>
      </c>
      <c r="F501" s="29">
        <f>ROUND(644.918,3)</f>
        <v>644.918</v>
      </c>
      <c r="G501" s="24"/>
      <c r="H501" s="25"/>
    </row>
    <row r="502" spans="1:8" ht="12.75" customHeight="1">
      <c r="A502" s="23">
        <v>43314</v>
      </c>
      <c r="B502" s="23"/>
      <c r="C502" s="29">
        <f>ROUND(627.411,3)</f>
        <v>627.411</v>
      </c>
      <c r="D502" s="29">
        <f>F502</f>
        <v>657.091</v>
      </c>
      <c r="E502" s="29">
        <f>F502</f>
        <v>657.091</v>
      </c>
      <c r="F502" s="29">
        <f>ROUND(657.091,3)</f>
        <v>657.091</v>
      </c>
      <c r="G502" s="24"/>
      <c r="H502" s="25"/>
    </row>
    <row r="503" spans="1:8" ht="12.75" customHeight="1">
      <c r="A503" s="23">
        <v>43405</v>
      </c>
      <c r="B503" s="23"/>
      <c r="C503" s="29">
        <f>ROUND(627.411,3)</f>
        <v>627.411</v>
      </c>
      <c r="D503" s="29">
        <f>F503</f>
        <v>669.788</v>
      </c>
      <c r="E503" s="29">
        <f>F503</f>
        <v>669.788</v>
      </c>
      <c r="F503" s="29">
        <f>ROUND(669.788,3)</f>
        <v>669.788</v>
      </c>
      <c r="G503" s="24"/>
      <c r="H503" s="25"/>
    </row>
    <row r="504" spans="1:8" ht="12.75" customHeight="1">
      <c r="A504" s="23" t="s">
        <v>87</v>
      </c>
      <c r="B504" s="23"/>
      <c r="C504" s="28"/>
      <c r="D504" s="28"/>
      <c r="E504" s="28"/>
      <c r="F504" s="28"/>
      <c r="G504" s="24"/>
      <c r="H504" s="25"/>
    </row>
    <row r="505" spans="1:8" ht="12.75" customHeight="1">
      <c r="A505" s="23">
        <v>43132</v>
      </c>
      <c r="B505" s="23"/>
      <c r="C505" s="29">
        <f>ROUND(555.254,3)</f>
        <v>555.254</v>
      </c>
      <c r="D505" s="29">
        <f>F505</f>
        <v>560.282</v>
      </c>
      <c r="E505" s="29">
        <f>F505</f>
        <v>560.282</v>
      </c>
      <c r="F505" s="29">
        <f>ROUND(560.282,3)</f>
        <v>560.282</v>
      </c>
      <c r="G505" s="24"/>
      <c r="H505" s="25"/>
    </row>
    <row r="506" spans="1:8" ht="12.75" customHeight="1">
      <c r="A506" s="23">
        <v>43223</v>
      </c>
      <c r="B506" s="23"/>
      <c r="C506" s="29">
        <f>ROUND(555.254,3)</f>
        <v>555.254</v>
      </c>
      <c r="D506" s="29">
        <f>F506</f>
        <v>570.748</v>
      </c>
      <c r="E506" s="29">
        <f>F506</f>
        <v>570.748</v>
      </c>
      <c r="F506" s="29">
        <f>ROUND(570.748,3)</f>
        <v>570.748</v>
      </c>
      <c r="G506" s="24"/>
      <c r="H506" s="25"/>
    </row>
    <row r="507" spans="1:8" ht="12.75" customHeight="1">
      <c r="A507" s="23">
        <v>43314</v>
      </c>
      <c r="B507" s="23"/>
      <c r="C507" s="29">
        <f>ROUND(555.254,3)</f>
        <v>555.254</v>
      </c>
      <c r="D507" s="29">
        <f>F507</f>
        <v>581.521</v>
      </c>
      <c r="E507" s="29">
        <f>F507</f>
        <v>581.521</v>
      </c>
      <c r="F507" s="29">
        <f>ROUND(581.521,3)</f>
        <v>581.521</v>
      </c>
      <c r="G507" s="24"/>
      <c r="H507" s="25"/>
    </row>
    <row r="508" spans="1:8" ht="12.75" customHeight="1">
      <c r="A508" s="23">
        <v>43405</v>
      </c>
      <c r="B508" s="23"/>
      <c r="C508" s="29">
        <f>ROUND(555.254,3)</f>
        <v>555.254</v>
      </c>
      <c r="D508" s="29">
        <f>F508</f>
        <v>592.757</v>
      </c>
      <c r="E508" s="29">
        <f>F508</f>
        <v>592.757</v>
      </c>
      <c r="F508" s="29">
        <f>ROUND(592.757,3)</f>
        <v>592.757</v>
      </c>
      <c r="G508" s="24"/>
      <c r="H508" s="25"/>
    </row>
    <row r="509" spans="1:8" ht="12.75" customHeight="1">
      <c r="A509" s="23" t="s">
        <v>88</v>
      </c>
      <c r="B509" s="23"/>
      <c r="C509" s="28"/>
      <c r="D509" s="28"/>
      <c r="E509" s="28"/>
      <c r="F509" s="28"/>
      <c r="G509" s="24"/>
      <c r="H509" s="25"/>
    </row>
    <row r="510" spans="1:8" ht="12.75" customHeight="1">
      <c r="A510" s="23">
        <v>43132</v>
      </c>
      <c r="B510" s="23"/>
      <c r="C510" s="29">
        <f>ROUND(636.727,3)</f>
        <v>636.727</v>
      </c>
      <c r="D510" s="29">
        <f>F510</f>
        <v>642.493</v>
      </c>
      <c r="E510" s="29">
        <f>F510</f>
        <v>642.493</v>
      </c>
      <c r="F510" s="29">
        <f>ROUND(642.493,3)</f>
        <v>642.493</v>
      </c>
      <c r="G510" s="24"/>
      <c r="H510" s="25"/>
    </row>
    <row r="511" spans="1:8" ht="12.75" customHeight="1">
      <c r="A511" s="23">
        <v>43223</v>
      </c>
      <c r="B511" s="23"/>
      <c r="C511" s="29">
        <f>ROUND(636.727,3)</f>
        <v>636.727</v>
      </c>
      <c r="D511" s="29">
        <f>F511</f>
        <v>654.494</v>
      </c>
      <c r="E511" s="29">
        <f>F511</f>
        <v>654.494</v>
      </c>
      <c r="F511" s="29">
        <f>ROUND(654.494,3)</f>
        <v>654.494</v>
      </c>
      <c r="G511" s="24"/>
      <c r="H511" s="25"/>
    </row>
    <row r="512" spans="1:8" ht="12.75" customHeight="1">
      <c r="A512" s="23">
        <v>43314</v>
      </c>
      <c r="B512" s="23"/>
      <c r="C512" s="29">
        <f>ROUND(636.727,3)</f>
        <v>636.727</v>
      </c>
      <c r="D512" s="29">
        <f>F512</f>
        <v>666.848</v>
      </c>
      <c r="E512" s="29">
        <f>F512</f>
        <v>666.848</v>
      </c>
      <c r="F512" s="29">
        <f>ROUND(666.848,3)</f>
        <v>666.848</v>
      </c>
      <c r="G512" s="24"/>
      <c r="H512" s="25"/>
    </row>
    <row r="513" spans="1:8" ht="12.75" customHeight="1">
      <c r="A513" s="23">
        <v>43405</v>
      </c>
      <c r="B513" s="23"/>
      <c r="C513" s="29">
        <f>ROUND(636.727,3)</f>
        <v>636.727</v>
      </c>
      <c r="D513" s="29">
        <f>F513</f>
        <v>679.733</v>
      </c>
      <c r="E513" s="29">
        <f>F513</f>
        <v>679.733</v>
      </c>
      <c r="F513" s="29">
        <f>ROUND(679.733,3)</f>
        <v>679.733</v>
      </c>
      <c r="G513" s="24"/>
      <c r="H513" s="25"/>
    </row>
    <row r="514" spans="1:8" ht="12.75" customHeight="1">
      <c r="A514" s="23" t="s">
        <v>89</v>
      </c>
      <c r="B514" s="23"/>
      <c r="C514" s="28"/>
      <c r="D514" s="28"/>
      <c r="E514" s="28"/>
      <c r="F514" s="28"/>
      <c r="G514" s="24"/>
      <c r="H514" s="25"/>
    </row>
    <row r="515" spans="1:8" ht="12.75" customHeight="1">
      <c r="A515" s="23">
        <v>43132</v>
      </c>
      <c r="B515" s="23"/>
      <c r="C515" s="29">
        <f>ROUND(576.78,3)</f>
        <v>576.78</v>
      </c>
      <c r="D515" s="29">
        <f>F515</f>
        <v>582.003</v>
      </c>
      <c r="E515" s="29">
        <f>F515</f>
        <v>582.003</v>
      </c>
      <c r="F515" s="29">
        <f>ROUND(582.003,3)</f>
        <v>582.003</v>
      </c>
      <c r="G515" s="24"/>
      <c r="H515" s="25"/>
    </row>
    <row r="516" spans="1:8" ht="12.75" customHeight="1">
      <c r="A516" s="23">
        <v>43223</v>
      </c>
      <c r="B516" s="23"/>
      <c r="C516" s="29">
        <f>ROUND(576.78,3)</f>
        <v>576.78</v>
      </c>
      <c r="D516" s="29">
        <f>F516</f>
        <v>592.875</v>
      </c>
      <c r="E516" s="29">
        <f>F516</f>
        <v>592.875</v>
      </c>
      <c r="F516" s="29">
        <f>ROUND(592.875,3)</f>
        <v>592.875</v>
      </c>
      <c r="G516" s="24"/>
      <c r="H516" s="25"/>
    </row>
    <row r="517" spans="1:8" ht="12.75" customHeight="1">
      <c r="A517" s="23">
        <v>43314</v>
      </c>
      <c r="B517" s="23"/>
      <c r="C517" s="29">
        <f>ROUND(576.78,3)</f>
        <v>576.78</v>
      </c>
      <c r="D517" s="29">
        <f>F517</f>
        <v>604.065</v>
      </c>
      <c r="E517" s="29">
        <f>F517</f>
        <v>604.065</v>
      </c>
      <c r="F517" s="29">
        <f>ROUND(604.065,3)</f>
        <v>604.065</v>
      </c>
      <c r="G517" s="24"/>
      <c r="H517" s="25"/>
    </row>
    <row r="518" spans="1:8" ht="12.75" customHeight="1">
      <c r="A518" s="23">
        <v>43405</v>
      </c>
      <c r="B518" s="23"/>
      <c r="C518" s="29">
        <f>ROUND(576.78,3)</f>
        <v>576.78</v>
      </c>
      <c r="D518" s="29">
        <f>F518</f>
        <v>615.737</v>
      </c>
      <c r="E518" s="29">
        <f>F518</f>
        <v>615.737</v>
      </c>
      <c r="F518" s="29">
        <f>ROUND(615.737,3)</f>
        <v>615.737</v>
      </c>
      <c r="G518" s="24"/>
      <c r="H518" s="25"/>
    </row>
    <row r="519" spans="1:8" ht="12.75" customHeight="1">
      <c r="A519" s="23" t="s">
        <v>90</v>
      </c>
      <c r="B519" s="23"/>
      <c r="C519" s="28"/>
      <c r="D519" s="28"/>
      <c r="E519" s="28"/>
      <c r="F519" s="28"/>
      <c r="G519" s="24"/>
      <c r="H519" s="25"/>
    </row>
    <row r="520" spans="1:8" ht="12.75" customHeight="1">
      <c r="A520" s="23">
        <v>43132</v>
      </c>
      <c r="B520" s="23"/>
      <c r="C520" s="29">
        <f>ROUND(245.88600518772,3)</f>
        <v>245.886</v>
      </c>
      <c r="D520" s="29">
        <f>F520</f>
        <v>248.12</v>
      </c>
      <c r="E520" s="29">
        <f>F520</f>
        <v>248.12</v>
      </c>
      <c r="F520" s="29">
        <f>ROUND(248.12,3)</f>
        <v>248.12</v>
      </c>
      <c r="G520" s="24"/>
      <c r="H520" s="25"/>
    </row>
    <row r="521" spans="1:8" ht="12.75" customHeight="1">
      <c r="A521" s="23">
        <v>43223</v>
      </c>
      <c r="B521" s="23"/>
      <c r="C521" s="29">
        <f>ROUND(245.88600518772,3)</f>
        <v>245.886</v>
      </c>
      <c r="D521" s="29">
        <f>F521</f>
        <v>252.771</v>
      </c>
      <c r="E521" s="29">
        <f>F521</f>
        <v>252.771</v>
      </c>
      <c r="F521" s="29">
        <f>ROUND(252.771,3)</f>
        <v>252.771</v>
      </c>
      <c r="G521" s="24"/>
      <c r="H521" s="25"/>
    </row>
    <row r="522" spans="1:8" ht="12.75" customHeight="1">
      <c r="A522" s="23">
        <v>43314</v>
      </c>
      <c r="B522" s="23"/>
      <c r="C522" s="29">
        <f>ROUND(245.88600518772,3)</f>
        <v>245.886</v>
      </c>
      <c r="D522" s="29">
        <f>F522</f>
        <v>257.587</v>
      </c>
      <c r="E522" s="29">
        <f>F522</f>
        <v>257.587</v>
      </c>
      <c r="F522" s="29">
        <f>ROUND(257.587,3)</f>
        <v>257.587</v>
      </c>
      <c r="G522" s="24"/>
      <c r="H522" s="25"/>
    </row>
    <row r="523" spans="1:8" ht="12.75" customHeight="1">
      <c r="A523" s="23">
        <v>43405</v>
      </c>
      <c r="B523" s="23"/>
      <c r="C523" s="29">
        <f>ROUND(245.88600518772,3)</f>
        <v>245.886</v>
      </c>
      <c r="D523" s="29">
        <f>F523</f>
        <v>262.66</v>
      </c>
      <c r="E523" s="29">
        <f>F523</f>
        <v>262.66</v>
      </c>
      <c r="F523" s="29">
        <f>ROUND(262.66,3)</f>
        <v>262.66</v>
      </c>
      <c r="G523" s="24"/>
      <c r="H523" s="25"/>
    </row>
    <row r="524" spans="1:8" ht="12.75" customHeight="1">
      <c r="A524" s="23" t="s">
        <v>91</v>
      </c>
      <c r="B524" s="23"/>
      <c r="C524" s="28"/>
      <c r="D524" s="28"/>
      <c r="E524" s="28"/>
      <c r="F524" s="28"/>
      <c r="G524" s="24"/>
      <c r="H524" s="25"/>
    </row>
    <row r="525" spans="1:8" ht="12.75" customHeight="1">
      <c r="A525" s="23">
        <v>43132</v>
      </c>
      <c r="B525" s="23"/>
      <c r="C525" s="29">
        <f>ROUND(675.731,3)</f>
        <v>675.731</v>
      </c>
      <c r="D525" s="29">
        <f>F525</f>
        <v>724.173</v>
      </c>
      <c r="E525" s="29">
        <f>F525</f>
        <v>724.173</v>
      </c>
      <c r="F525" s="29">
        <f>ROUND(724.173,3)</f>
        <v>724.173</v>
      </c>
      <c r="G525" s="24"/>
      <c r="H525" s="25"/>
    </row>
    <row r="526" spans="1:8" ht="12.75" customHeight="1">
      <c r="A526" s="23" t="s">
        <v>92</v>
      </c>
      <c r="B526" s="23"/>
      <c r="C526" s="28"/>
      <c r="D526" s="28"/>
      <c r="E526" s="28"/>
      <c r="F526" s="28"/>
      <c r="G526" s="24"/>
      <c r="H526" s="25"/>
    </row>
    <row r="527" spans="1:8" ht="12.75" customHeight="1">
      <c r="A527" s="23">
        <v>43087</v>
      </c>
      <c r="B527" s="23"/>
      <c r="C527" s="24">
        <f>ROUND(22701.7048138364,2)</f>
        <v>22701.7</v>
      </c>
      <c r="D527" s="24">
        <f>F527</f>
        <v>22760.39</v>
      </c>
      <c r="E527" s="24">
        <f>F527</f>
        <v>22760.39</v>
      </c>
      <c r="F527" s="24">
        <f>ROUND(22760.39,2)</f>
        <v>22760.39</v>
      </c>
      <c r="G527" s="24"/>
      <c r="H527" s="25"/>
    </row>
    <row r="528" spans="1:8" ht="12.75" customHeight="1">
      <c r="A528" s="23">
        <v>43178</v>
      </c>
      <c r="B528" s="23"/>
      <c r="C528" s="24">
        <f>ROUND(22701.7048138364,2)</f>
        <v>22701.7</v>
      </c>
      <c r="D528" s="24">
        <f>F528</f>
        <v>23134.59</v>
      </c>
      <c r="E528" s="24">
        <f>F528</f>
        <v>23134.59</v>
      </c>
      <c r="F528" s="24">
        <f>ROUND(23134.59,2)</f>
        <v>23134.59</v>
      </c>
      <c r="G528" s="24"/>
      <c r="H528" s="25"/>
    </row>
    <row r="529" spans="1:8" ht="12.75" customHeight="1">
      <c r="A529" s="23">
        <v>43269</v>
      </c>
      <c r="B529" s="23"/>
      <c r="C529" s="24">
        <f>ROUND(22701.7048138364,2)</f>
        <v>22701.7</v>
      </c>
      <c r="D529" s="24">
        <f>F529</f>
        <v>23504.94</v>
      </c>
      <c r="E529" s="24">
        <f>F529</f>
        <v>23504.94</v>
      </c>
      <c r="F529" s="24">
        <f>ROUND(23504.94,2)</f>
        <v>23504.94</v>
      </c>
      <c r="G529" s="24"/>
      <c r="H529" s="25"/>
    </row>
    <row r="530" spans="1:8" ht="12.75" customHeight="1">
      <c r="A530" s="23" t="s">
        <v>93</v>
      </c>
      <c r="B530" s="23"/>
      <c r="C530" s="28"/>
      <c r="D530" s="28"/>
      <c r="E530" s="28"/>
      <c r="F530" s="28"/>
      <c r="G530" s="24"/>
      <c r="H530" s="25"/>
    </row>
    <row r="531" spans="1:8" ht="12.75" customHeight="1">
      <c r="A531" s="23">
        <v>43089</v>
      </c>
      <c r="B531" s="23"/>
      <c r="C531" s="29">
        <f>ROUND(7.142,3)</f>
        <v>7.142</v>
      </c>
      <c r="D531" s="29">
        <f>ROUND(7.19,3)</f>
        <v>7.19</v>
      </c>
      <c r="E531" s="29">
        <f>ROUND(7.09,3)</f>
        <v>7.09</v>
      </c>
      <c r="F531" s="29">
        <f>ROUND(7.14,3)</f>
        <v>7.14</v>
      </c>
      <c r="G531" s="24"/>
      <c r="H531" s="25"/>
    </row>
    <row r="532" spans="1:8" ht="12.75" customHeight="1">
      <c r="A532" s="23">
        <v>43117</v>
      </c>
      <c r="B532" s="23"/>
      <c r="C532" s="29">
        <f>ROUND(7.142,3)</f>
        <v>7.142</v>
      </c>
      <c r="D532" s="29">
        <f>ROUND(7.25,3)</f>
        <v>7.25</v>
      </c>
      <c r="E532" s="29">
        <f>ROUND(7.15,3)</f>
        <v>7.15</v>
      </c>
      <c r="F532" s="29">
        <f>ROUND(7.2,3)</f>
        <v>7.2</v>
      </c>
      <c r="G532" s="24"/>
      <c r="H532" s="25"/>
    </row>
    <row r="533" spans="1:8" ht="12.75" customHeight="1">
      <c r="A533" s="23">
        <v>43152</v>
      </c>
      <c r="B533" s="23"/>
      <c r="C533" s="29">
        <f>ROUND(7.142,3)</f>
        <v>7.142</v>
      </c>
      <c r="D533" s="29">
        <f>ROUND(7.31,3)</f>
        <v>7.31</v>
      </c>
      <c r="E533" s="29">
        <f>ROUND(7.21,3)</f>
        <v>7.21</v>
      </c>
      <c r="F533" s="29">
        <f>ROUND(7.26,3)</f>
        <v>7.26</v>
      </c>
      <c r="G533" s="24"/>
      <c r="H533" s="25"/>
    </row>
    <row r="534" spans="1:8" ht="12.75" customHeight="1">
      <c r="A534" s="23">
        <v>43179</v>
      </c>
      <c r="B534" s="23"/>
      <c r="C534" s="29">
        <f>ROUND(7.142,3)</f>
        <v>7.142</v>
      </c>
      <c r="D534" s="29">
        <f>ROUND(7.35,3)</f>
        <v>7.35</v>
      </c>
      <c r="E534" s="29">
        <f>ROUND(7.25,3)</f>
        <v>7.25</v>
      </c>
      <c r="F534" s="29">
        <f>ROUND(7.3,3)</f>
        <v>7.3</v>
      </c>
      <c r="G534" s="24"/>
      <c r="H534" s="25"/>
    </row>
    <row r="535" spans="1:8" ht="12.75" customHeight="1">
      <c r="A535" s="23">
        <v>43208</v>
      </c>
      <c r="B535" s="23"/>
      <c r="C535" s="29">
        <f>ROUND(7.142,3)</f>
        <v>7.142</v>
      </c>
      <c r="D535" s="29">
        <f>ROUND(7.38,3)</f>
        <v>7.38</v>
      </c>
      <c r="E535" s="29">
        <f>ROUND(7.28,3)</f>
        <v>7.28</v>
      </c>
      <c r="F535" s="29">
        <f>ROUND(7.33,3)</f>
        <v>7.33</v>
      </c>
      <c r="G535" s="24"/>
      <c r="H535" s="25"/>
    </row>
    <row r="536" spans="1:8" ht="12.75" customHeight="1">
      <c r="A536" s="23">
        <v>43269</v>
      </c>
      <c r="B536" s="23"/>
      <c r="C536" s="29">
        <f>ROUND(7.142,3)</f>
        <v>7.142</v>
      </c>
      <c r="D536" s="29">
        <f>ROUND(7.51,3)</f>
        <v>7.51</v>
      </c>
      <c r="E536" s="29">
        <f>ROUND(7.41,3)</f>
        <v>7.41</v>
      </c>
      <c r="F536" s="29">
        <f>ROUND(7.46,3)</f>
        <v>7.46</v>
      </c>
      <c r="G536" s="24"/>
      <c r="H536" s="25"/>
    </row>
    <row r="537" spans="1:8" ht="12.75" customHeight="1">
      <c r="A537" s="23">
        <v>43271</v>
      </c>
      <c r="B537" s="23"/>
      <c r="C537" s="29">
        <f>ROUND(7.142,3)</f>
        <v>7.142</v>
      </c>
      <c r="D537" s="29">
        <f>ROUND(7.45,3)</f>
        <v>7.45</v>
      </c>
      <c r="E537" s="29">
        <f>ROUND(7.35,3)</f>
        <v>7.35</v>
      </c>
      <c r="F537" s="29">
        <f>ROUND(7.4,3)</f>
        <v>7.4</v>
      </c>
      <c r="G537" s="24"/>
      <c r="H537" s="25"/>
    </row>
    <row r="538" spans="1:8" ht="12.75" customHeight="1">
      <c r="A538" s="23">
        <v>43362</v>
      </c>
      <c r="B538" s="23"/>
      <c r="C538" s="29">
        <f>ROUND(7.142,3)</f>
        <v>7.142</v>
      </c>
      <c r="D538" s="29">
        <f>ROUND(7.54,3)</f>
        <v>7.54</v>
      </c>
      <c r="E538" s="29">
        <f>ROUND(7.44,3)</f>
        <v>7.44</v>
      </c>
      <c r="F538" s="29">
        <f>ROUND(7.49,3)</f>
        <v>7.49</v>
      </c>
      <c r="G538" s="24"/>
      <c r="H538" s="25"/>
    </row>
    <row r="539" spans="1:8" ht="12.75" customHeight="1">
      <c r="A539" s="23">
        <v>43453</v>
      </c>
      <c r="B539" s="23"/>
      <c r="C539" s="29">
        <f>ROUND(7.142,3)</f>
        <v>7.142</v>
      </c>
      <c r="D539" s="29">
        <f>ROUND(7.63,3)</f>
        <v>7.63</v>
      </c>
      <c r="E539" s="29">
        <f>ROUND(7.53,3)</f>
        <v>7.53</v>
      </c>
      <c r="F539" s="29">
        <f>ROUND(7.58,3)</f>
        <v>7.58</v>
      </c>
      <c r="G539" s="24"/>
      <c r="H539" s="25"/>
    </row>
    <row r="540" spans="1:8" ht="12.75" customHeight="1">
      <c r="A540" s="23">
        <v>43544</v>
      </c>
      <c r="B540" s="23"/>
      <c r="C540" s="29">
        <f>ROUND(7.142,3)</f>
        <v>7.142</v>
      </c>
      <c r="D540" s="29">
        <f>ROUND(7.72,3)</f>
        <v>7.72</v>
      </c>
      <c r="E540" s="29">
        <f>ROUND(7.62,3)</f>
        <v>7.62</v>
      </c>
      <c r="F540" s="29">
        <f>ROUND(7.67,3)</f>
        <v>7.67</v>
      </c>
      <c r="G540" s="24"/>
      <c r="H540" s="25"/>
    </row>
    <row r="541" spans="1:8" ht="12.75" customHeight="1">
      <c r="A541" s="23">
        <v>43635</v>
      </c>
      <c r="B541" s="23"/>
      <c r="C541" s="29">
        <f>ROUND(7.142,3)</f>
        <v>7.142</v>
      </c>
      <c r="D541" s="29">
        <f>ROUND(7.82,3)</f>
        <v>7.82</v>
      </c>
      <c r="E541" s="29">
        <f>ROUND(7.72,3)</f>
        <v>7.72</v>
      </c>
      <c r="F541" s="29">
        <f>ROUND(7.77,3)</f>
        <v>7.77</v>
      </c>
      <c r="G541" s="24"/>
      <c r="H541" s="25"/>
    </row>
    <row r="542" spans="1:8" ht="12.75" customHeight="1">
      <c r="A542" s="23">
        <v>43726</v>
      </c>
      <c r="B542" s="23"/>
      <c r="C542" s="29">
        <f>ROUND(7.142,3)</f>
        <v>7.142</v>
      </c>
      <c r="D542" s="29">
        <f>ROUND(7.9,3)</f>
        <v>7.9</v>
      </c>
      <c r="E542" s="29">
        <f>ROUND(7.8,3)</f>
        <v>7.8</v>
      </c>
      <c r="F542" s="29">
        <f>ROUND(7.85,3)</f>
        <v>7.85</v>
      </c>
      <c r="G542" s="24"/>
      <c r="H542" s="25"/>
    </row>
    <row r="543" spans="1:8" ht="12.75" customHeight="1">
      <c r="A543" s="23" t="s">
        <v>94</v>
      </c>
      <c r="B543" s="23"/>
      <c r="C543" s="28"/>
      <c r="D543" s="28"/>
      <c r="E543" s="28"/>
      <c r="F543" s="28"/>
      <c r="G543" s="24"/>
      <c r="H543" s="25"/>
    </row>
    <row r="544" spans="1:8" ht="12.75" customHeight="1">
      <c r="A544" s="23">
        <v>43132</v>
      </c>
      <c r="B544" s="23"/>
      <c r="C544" s="29">
        <f>ROUND(574.996,3)</f>
        <v>574.996</v>
      </c>
      <c r="D544" s="29">
        <f>F544</f>
        <v>580.203</v>
      </c>
      <c r="E544" s="29">
        <f>F544</f>
        <v>580.203</v>
      </c>
      <c r="F544" s="29">
        <f>ROUND(580.203,3)</f>
        <v>580.203</v>
      </c>
      <c r="G544" s="24"/>
      <c r="H544" s="25"/>
    </row>
    <row r="545" spans="1:8" ht="12.75" customHeight="1">
      <c r="A545" s="23">
        <v>43223</v>
      </c>
      <c r="B545" s="23"/>
      <c r="C545" s="29">
        <f>ROUND(574.996,3)</f>
        <v>574.996</v>
      </c>
      <c r="D545" s="29">
        <f>F545</f>
        <v>591.041</v>
      </c>
      <c r="E545" s="29">
        <f>F545</f>
        <v>591.041</v>
      </c>
      <c r="F545" s="29">
        <f>ROUND(591.041,3)</f>
        <v>591.041</v>
      </c>
      <c r="G545" s="24"/>
      <c r="H545" s="25"/>
    </row>
    <row r="546" spans="1:8" ht="12.75" customHeight="1">
      <c r="A546" s="23">
        <v>43314</v>
      </c>
      <c r="B546" s="23"/>
      <c r="C546" s="29">
        <f>ROUND(574.996,3)</f>
        <v>574.996</v>
      </c>
      <c r="D546" s="29">
        <f>F546</f>
        <v>602.197</v>
      </c>
      <c r="E546" s="29">
        <f>F546</f>
        <v>602.197</v>
      </c>
      <c r="F546" s="29">
        <f>ROUND(602.197,3)</f>
        <v>602.197</v>
      </c>
      <c r="G546" s="24"/>
      <c r="H546" s="25"/>
    </row>
    <row r="547" spans="1:8" ht="12.75" customHeight="1">
      <c r="A547" s="23">
        <v>43405</v>
      </c>
      <c r="B547" s="23"/>
      <c r="C547" s="29">
        <f>ROUND(574.996,3)</f>
        <v>574.996</v>
      </c>
      <c r="D547" s="29">
        <f>F547</f>
        <v>613.833</v>
      </c>
      <c r="E547" s="29">
        <f>F547</f>
        <v>613.833</v>
      </c>
      <c r="F547" s="29">
        <f>ROUND(613.833,3)</f>
        <v>613.833</v>
      </c>
      <c r="G547" s="24"/>
      <c r="H547" s="25"/>
    </row>
    <row r="548" spans="1:8" ht="12.75" customHeight="1">
      <c r="A548" s="23" t="s">
        <v>12</v>
      </c>
      <c r="B548" s="23"/>
      <c r="C548" s="28"/>
      <c r="D548" s="28"/>
      <c r="E548" s="28"/>
      <c r="F548" s="28"/>
      <c r="G548" s="24"/>
      <c r="H548" s="25"/>
    </row>
    <row r="549" spans="1:8" ht="12.75" customHeight="1">
      <c r="A549" s="23">
        <v>43546</v>
      </c>
      <c r="B549" s="23"/>
      <c r="C549" s="24">
        <f>ROUND(99.8576243423658,2)</f>
        <v>99.86</v>
      </c>
      <c r="D549" s="24">
        <f>F549</f>
        <v>99.86</v>
      </c>
      <c r="E549" s="24">
        <f>F549</f>
        <v>99.86</v>
      </c>
      <c r="F549" s="24">
        <f>ROUND(99.8576243423658,2)</f>
        <v>99.86</v>
      </c>
      <c r="G549" s="24"/>
      <c r="H549" s="25"/>
    </row>
    <row r="550" spans="1:8" ht="12.75" customHeight="1">
      <c r="A550" s="23" t="s">
        <v>13</v>
      </c>
      <c r="B550" s="23"/>
      <c r="C550" s="28"/>
      <c r="D550" s="28"/>
      <c r="E550" s="28"/>
      <c r="F550" s="28"/>
      <c r="G550" s="24"/>
      <c r="H550" s="25"/>
    </row>
    <row r="551" spans="1:8" ht="12.75" customHeight="1">
      <c r="A551" s="23">
        <v>43913</v>
      </c>
      <c r="B551" s="23"/>
      <c r="C551" s="24">
        <f>ROUND(99.5900725854636,2)</f>
        <v>99.59</v>
      </c>
      <c r="D551" s="24">
        <f>F551</f>
        <v>99.59</v>
      </c>
      <c r="E551" s="24">
        <f>F551</f>
        <v>99.59</v>
      </c>
      <c r="F551" s="24">
        <f>ROUND(99.5900725854636,2)</f>
        <v>99.59</v>
      </c>
      <c r="G551" s="24"/>
      <c r="H551" s="25"/>
    </row>
    <row r="552" spans="1:8" ht="12.75" customHeight="1">
      <c r="A552" s="23" t="s">
        <v>14</v>
      </c>
      <c r="B552" s="23"/>
      <c r="C552" s="28"/>
      <c r="D552" s="28"/>
      <c r="E552" s="28"/>
      <c r="F552" s="28"/>
      <c r="G552" s="24"/>
      <c r="H552" s="25"/>
    </row>
    <row r="553" spans="1:8" ht="12.75" customHeight="1">
      <c r="A553" s="23">
        <v>45007</v>
      </c>
      <c r="B553" s="23"/>
      <c r="C553" s="24">
        <f>ROUND(98.7808284600049,2)</f>
        <v>98.78</v>
      </c>
      <c r="D553" s="24">
        <f>F553</f>
        <v>98.78</v>
      </c>
      <c r="E553" s="24">
        <f>F553</f>
        <v>98.78</v>
      </c>
      <c r="F553" s="24">
        <f>ROUND(98.7808284600049,2)</f>
        <v>98.78</v>
      </c>
      <c r="G553" s="24"/>
      <c r="H553" s="25"/>
    </row>
    <row r="554" spans="1:8" ht="12.75" customHeight="1">
      <c r="A554" s="23" t="s">
        <v>15</v>
      </c>
      <c r="B554" s="23"/>
      <c r="C554" s="28"/>
      <c r="D554" s="28"/>
      <c r="E554" s="28"/>
      <c r="F554" s="28"/>
      <c r="G554" s="24"/>
      <c r="H554" s="25"/>
    </row>
    <row r="555" spans="1:8" ht="12.75" customHeight="1">
      <c r="A555" s="23">
        <v>46834</v>
      </c>
      <c r="B555" s="23"/>
      <c r="C555" s="24">
        <f>ROUND(99.2260338075755,2)</f>
        <v>99.23</v>
      </c>
      <c r="D555" s="24">
        <f>F555</f>
        <v>99.23</v>
      </c>
      <c r="E555" s="24">
        <f>F555</f>
        <v>99.23</v>
      </c>
      <c r="F555" s="24">
        <f>ROUND(99.2260338075755,2)</f>
        <v>99.23</v>
      </c>
      <c r="G555" s="24"/>
      <c r="H555" s="25"/>
    </row>
    <row r="556" spans="1:8" ht="12.75" customHeight="1">
      <c r="A556" s="23" t="s">
        <v>95</v>
      </c>
      <c r="B556" s="23"/>
      <c r="C556" s="28"/>
      <c r="D556" s="28"/>
      <c r="E556" s="28"/>
      <c r="F556" s="28"/>
      <c r="G556" s="24"/>
      <c r="H556" s="25"/>
    </row>
    <row r="557" spans="1:8" ht="12.75" customHeight="1">
      <c r="A557" s="23">
        <v>43090</v>
      </c>
      <c r="B557" s="23"/>
      <c r="C557" s="27">
        <f>ROUND(99.8576243423658,5)</f>
        <v>99.85762</v>
      </c>
      <c r="D557" s="27">
        <f>F557</f>
        <v>99.75946</v>
      </c>
      <c r="E557" s="27">
        <f>F557</f>
        <v>99.75946</v>
      </c>
      <c r="F557" s="27">
        <f>ROUND(99.7594638587207,5)</f>
        <v>99.75946</v>
      </c>
      <c r="G557" s="24"/>
      <c r="H557" s="25"/>
    </row>
    <row r="558" spans="1:8" ht="12.75" customHeight="1">
      <c r="A558" s="23" t="s">
        <v>96</v>
      </c>
      <c r="B558" s="23"/>
      <c r="C558" s="28"/>
      <c r="D558" s="28"/>
      <c r="E558" s="28"/>
      <c r="F558" s="28"/>
      <c r="G558" s="24"/>
      <c r="H558" s="25"/>
    </row>
    <row r="559" spans="1:8" ht="12.75" customHeight="1">
      <c r="A559" s="23">
        <v>43174</v>
      </c>
      <c r="B559" s="23"/>
      <c r="C559" s="27">
        <f>ROUND(99.8576243423658,5)</f>
        <v>99.85762</v>
      </c>
      <c r="D559" s="27">
        <f>F559</f>
        <v>99.72458</v>
      </c>
      <c r="E559" s="27">
        <f>F559</f>
        <v>99.72458</v>
      </c>
      <c r="F559" s="27">
        <f>ROUND(99.7245818929707,5)</f>
        <v>99.72458</v>
      </c>
      <c r="G559" s="24"/>
      <c r="H559" s="25"/>
    </row>
    <row r="560" spans="1:8" ht="12.75" customHeight="1">
      <c r="A560" s="23" t="s">
        <v>97</v>
      </c>
      <c r="B560" s="23"/>
      <c r="C560" s="28"/>
      <c r="D560" s="28"/>
      <c r="E560" s="28"/>
      <c r="F560" s="28"/>
      <c r="G560" s="24"/>
      <c r="H560" s="25"/>
    </row>
    <row r="561" spans="1:8" ht="12.75" customHeight="1">
      <c r="A561" s="23">
        <v>43272</v>
      </c>
      <c r="B561" s="23"/>
      <c r="C561" s="27">
        <f>ROUND(99.8576243423658,5)</f>
        <v>99.85762</v>
      </c>
      <c r="D561" s="27">
        <f>F561</f>
        <v>99.92453</v>
      </c>
      <c r="E561" s="27">
        <f>F561</f>
        <v>99.92453</v>
      </c>
      <c r="F561" s="27">
        <f>ROUND(99.9245312471306,5)</f>
        <v>99.92453</v>
      </c>
      <c r="G561" s="24"/>
      <c r="H561" s="25"/>
    </row>
    <row r="562" spans="1:8" ht="12.75" customHeight="1">
      <c r="A562" s="23" t="s">
        <v>98</v>
      </c>
      <c r="B562" s="23"/>
      <c r="C562" s="28"/>
      <c r="D562" s="28"/>
      <c r="E562" s="28"/>
      <c r="F562" s="28"/>
      <c r="G562" s="24"/>
      <c r="H562" s="25"/>
    </row>
    <row r="563" spans="1:8" ht="12.75" customHeight="1">
      <c r="A563" s="23">
        <v>43363</v>
      </c>
      <c r="B563" s="23"/>
      <c r="C563" s="27">
        <f>ROUND(99.8576243423658,5)</f>
        <v>99.85762</v>
      </c>
      <c r="D563" s="27">
        <f>F563</f>
        <v>100.15946</v>
      </c>
      <c r="E563" s="27">
        <f>F563</f>
        <v>100.15946</v>
      </c>
      <c r="F563" s="27">
        <f>ROUND(100.159455743918,5)</f>
        <v>100.15946</v>
      </c>
      <c r="G563" s="24"/>
      <c r="H563" s="25"/>
    </row>
    <row r="564" spans="1:8" ht="12.75" customHeight="1">
      <c r="A564" s="23" t="s">
        <v>99</v>
      </c>
      <c r="B564" s="23"/>
      <c r="C564" s="28"/>
      <c r="D564" s="28"/>
      <c r="E564" s="28"/>
      <c r="F564" s="28"/>
      <c r="G564" s="24"/>
      <c r="H564" s="25"/>
    </row>
    <row r="565" spans="1:8" ht="12.75" customHeight="1">
      <c r="A565" s="23">
        <v>43087</v>
      </c>
      <c r="B565" s="23"/>
      <c r="C565" s="27">
        <f>ROUND(99.5900725854636,5)</f>
        <v>99.59007</v>
      </c>
      <c r="D565" s="27">
        <f>F565</f>
        <v>99.797</v>
      </c>
      <c r="E565" s="27">
        <f>F565</f>
        <v>99.797</v>
      </c>
      <c r="F565" s="27">
        <f>ROUND(99.7969996717177,5)</f>
        <v>99.797</v>
      </c>
      <c r="G565" s="24"/>
      <c r="H565" s="25"/>
    </row>
    <row r="566" spans="1:8" ht="12.75" customHeight="1">
      <c r="A566" s="23" t="s">
        <v>100</v>
      </c>
      <c r="B566" s="23"/>
      <c r="C566" s="28"/>
      <c r="D566" s="28"/>
      <c r="E566" s="28"/>
      <c r="F566" s="28"/>
      <c r="G566" s="24"/>
      <c r="H566" s="25"/>
    </row>
    <row r="567" spans="1:8" ht="12.75" customHeight="1">
      <c r="A567" s="23">
        <v>43175</v>
      </c>
      <c r="B567" s="23"/>
      <c r="C567" s="27">
        <f>ROUND(99.5900725854636,5)</f>
        <v>99.59007</v>
      </c>
      <c r="D567" s="27">
        <f>F567</f>
        <v>99.0075</v>
      </c>
      <c r="E567" s="27">
        <f>F567</f>
        <v>99.0075</v>
      </c>
      <c r="F567" s="27">
        <f>ROUND(99.0075015427945,5)</f>
        <v>99.0075</v>
      </c>
      <c r="G567" s="24"/>
      <c r="H567" s="25"/>
    </row>
    <row r="568" spans="1:8" ht="12.75" customHeight="1">
      <c r="A568" s="23" t="s">
        <v>101</v>
      </c>
      <c r="B568" s="23"/>
      <c r="C568" s="28"/>
      <c r="D568" s="28"/>
      <c r="E568" s="28"/>
      <c r="F568" s="28"/>
      <c r="G568" s="24"/>
      <c r="H568" s="25"/>
    </row>
    <row r="569" spans="1:8" ht="12.75" customHeight="1">
      <c r="A569" s="23">
        <v>43266</v>
      </c>
      <c r="B569" s="23"/>
      <c r="C569" s="27">
        <f>ROUND(99.5900725854636,5)</f>
        <v>99.59007</v>
      </c>
      <c r="D569" s="27">
        <f>F569</f>
        <v>98.6101</v>
      </c>
      <c r="E569" s="27">
        <f>F569</f>
        <v>98.6101</v>
      </c>
      <c r="F569" s="27">
        <f>ROUND(98.6101032430438,5)</f>
        <v>98.6101</v>
      </c>
      <c r="G569" s="24"/>
      <c r="H569" s="25"/>
    </row>
    <row r="570" spans="1:8" ht="12.75" customHeight="1">
      <c r="A570" s="23" t="s">
        <v>102</v>
      </c>
      <c r="B570" s="23"/>
      <c r="C570" s="28"/>
      <c r="D570" s="28"/>
      <c r="E570" s="28"/>
      <c r="F570" s="28"/>
      <c r="G570" s="24"/>
      <c r="H570" s="25"/>
    </row>
    <row r="571" spans="1:8" ht="12.75" customHeight="1">
      <c r="A571" s="23">
        <v>43364</v>
      </c>
      <c r="B571" s="23"/>
      <c r="C571" s="27">
        <f>ROUND(99.5900725854636,5)</f>
        <v>99.59007</v>
      </c>
      <c r="D571" s="27">
        <f>F571</f>
        <v>98.62911</v>
      </c>
      <c r="E571" s="27">
        <f>F571</f>
        <v>98.62911</v>
      </c>
      <c r="F571" s="27">
        <f>ROUND(98.6291132625336,5)</f>
        <v>98.62911</v>
      </c>
      <c r="G571" s="24"/>
      <c r="H571" s="25"/>
    </row>
    <row r="572" spans="1:8" ht="12.75" customHeight="1">
      <c r="A572" s="23" t="s">
        <v>103</v>
      </c>
      <c r="B572" s="23"/>
      <c r="C572" s="28"/>
      <c r="D572" s="28"/>
      <c r="E572" s="28"/>
      <c r="F572" s="28"/>
      <c r="G572" s="24"/>
      <c r="H572" s="25"/>
    </row>
    <row r="573" spans="1:8" ht="12.75" customHeight="1">
      <c r="A573" s="23">
        <v>43455</v>
      </c>
      <c r="B573" s="23"/>
      <c r="C573" s="24">
        <f>ROUND(99.5900725854636,2)</f>
        <v>99.59</v>
      </c>
      <c r="D573" s="24">
        <f>F573</f>
        <v>99.1</v>
      </c>
      <c r="E573" s="24">
        <f>F573</f>
        <v>99.1</v>
      </c>
      <c r="F573" s="24">
        <f>ROUND(99.102235253685,2)</f>
        <v>99.1</v>
      </c>
      <c r="G573" s="24"/>
      <c r="H573" s="25"/>
    </row>
    <row r="574" spans="1:8" ht="12.75" customHeight="1">
      <c r="A574" s="23" t="s">
        <v>104</v>
      </c>
      <c r="B574" s="23"/>
      <c r="C574" s="28"/>
      <c r="D574" s="28"/>
      <c r="E574" s="28"/>
      <c r="F574" s="28"/>
      <c r="G574" s="24"/>
      <c r="H574" s="25"/>
    </row>
    <row r="575" spans="1:8" ht="12.75" customHeight="1">
      <c r="A575" s="23">
        <v>43539</v>
      </c>
      <c r="B575" s="23"/>
      <c r="C575" s="27">
        <f>ROUND(99.5900725854636,5)</f>
        <v>99.59007</v>
      </c>
      <c r="D575" s="27">
        <f>F575</f>
        <v>99.59546</v>
      </c>
      <c r="E575" s="27">
        <f>F575</f>
        <v>99.59546</v>
      </c>
      <c r="F575" s="27">
        <f>ROUND(99.5954629315606,5)</f>
        <v>99.59546</v>
      </c>
      <c r="G575" s="24"/>
      <c r="H575" s="25"/>
    </row>
    <row r="576" spans="1:8" ht="12.75" customHeight="1">
      <c r="A576" s="23" t="s">
        <v>105</v>
      </c>
      <c r="B576" s="23"/>
      <c r="C576" s="28"/>
      <c r="D576" s="28"/>
      <c r="E576" s="28"/>
      <c r="F576" s="28"/>
      <c r="G576" s="24"/>
      <c r="H576" s="25"/>
    </row>
    <row r="577" spans="1:8" ht="12.75" customHeight="1">
      <c r="A577" s="23">
        <v>43637</v>
      </c>
      <c r="B577" s="23"/>
      <c r="C577" s="27">
        <f>ROUND(99.5900725854636,5)</f>
        <v>99.59007</v>
      </c>
      <c r="D577" s="27">
        <f>F577</f>
        <v>100.10426</v>
      </c>
      <c r="E577" s="27">
        <f>F577</f>
        <v>100.10426</v>
      </c>
      <c r="F577" s="27">
        <f>ROUND(100.104262240439,5)</f>
        <v>100.10426</v>
      </c>
      <c r="G577" s="24"/>
      <c r="H577" s="25"/>
    </row>
    <row r="578" spans="1:8" ht="12.75" customHeight="1">
      <c r="A578" s="23" t="s">
        <v>106</v>
      </c>
      <c r="B578" s="23"/>
      <c r="C578" s="28"/>
      <c r="D578" s="28"/>
      <c r="E578" s="28"/>
      <c r="F578" s="28"/>
      <c r="G578" s="24"/>
      <c r="H578" s="25"/>
    </row>
    <row r="579" spans="1:8" ht="12.75" customHeight="1">
      <c r="A579" s="23">
        <v>43728</v>
      </c>
      <c r="B579" s="23"/>
      <c r="C579" s="27">
        <f>ROUND(99.5900725854636,5)</f>
        <v>99.59007</v>
      </c>
      <c r="D579" s="27">
        <f>F579</f>
        <v>100.62934</v>
      </c>
      <c r="E579" s="27">
        <f>F579</f>
        <v>100.62934</v>
      </c>
      <c r="F579" s="27">
        <f>ROUND(100.629336402304,5)</f>
        <v>100.62934</v>
      </c>
      <c r="G579" s="24"/>
      <c r="H579" s="25"/>
    </row>
    <row r="580" spans="1:8" ht="12.75" customHeight="1">
      <c r="A580" s="23" t="s">
        <v>107</v>
      </c>
      <c r="B580" s="23"/>
      <c r="C580" s="28"/>
      <c r="D580" s="28"/>
      <c r="E580" s="28"/>
      <c r="F580" s="28"/>
      <c r="G580" s="24"/>
      <c r="H580" s="25"/>
    </row>
    <row r="581" spans="1:8" ht="12.75" customHeight="1">
      <c r="A581" s="23">
        <v>44182</v>
      </c>
      <c r="B581" s="23"/>
      <c r="C581" s="27">
        <f>ROUND(98.7808284600049,5)</f>
        <v>98.78083</v>
      </c>
      <c r="D581" s="27">
        <f>F581</f>
        <v>97.38359</v>
      </c>
      <c r="E581" s="27">
        <f>F581</f>
        <v>97.38359</v>
      </c>
      <c r="F581" s="27">
        <f>ROUND(97.3835947915968,5)</f>
        <v>97.38359</v>
      </c>
      <c r="G581" s="24"/>
      <c r="H581" s="25"/>
    </row>
    <row r="582" spans="1:8" ht="12.75" customHeight="1">
      <c r="A582" s="23" t="s">
        <v>108</v>
      </c>
      <c r="B582" s="23"/>
      <c r="C582" s="28"/>
      <c r="D582" s="28"/>
      <c r="E582" s="28"/>
      <c r="F582" s="28"/>
      <c r="G582" s="24"/>
      <c r="H582" s="25"/>
    </row>
    <row r="583" spans="1:8" ht="12.75" customHeight="1">
      <c r="A583" s="23">
        <v>44271</v>
      </c>
      <c r="B583" s="23"/>
      <c r="C583" s="27">
        <f>ROUND(98.7808284600049,5)</f>
        <v>98.78083</v>
      </c>
      <c r="D583" s="27">
        <f>F583</f>
        <v>96.7028</v>
      </c>
      <c r="E583" s="27">
        <f>F583</f>
        <v>96.7028</v>
      </c>
      <c r="F583" s="27">
        <f>ROUND(96.7027973096918,5)</f>
        <v>96.7028</v>
      </c>
      <c r="G583" s="24"/>
      <c r="H583" s="25"/>
    </row>
    <row r="584" spans="1:8" ht="12.75" customHeight="1">
      <c r="A584" s="23" t="s">
        <v>109</v>
      </c>
      <c r="B584" s="23"/>
      <c r="C584" s="28"/>
      <c r="D584" s="28"/>
      <c r="E584" s="28"/>
      <c r="F584" s="28"/>
      <c r="G584" s="24"/>
      <c r="H584" s="25"/>
    </row>
    <row r="585" spans="1:8" ht="12.75" customHeight="1">
      <c r="A585" s="23">
        <v>44362</v>
      </c>
      <c r="B585" s="23"/>
      <c r="C585" s="27">
        <f>ROUND(98.7808284600049,5)</f>
        <v>98.78083</v>
      </c>
      <c r="D585" s="27">
        <f>F585</f>
        <v>95.98932</v>
      </c>
      <c r="E585" s="27">
        <f>F585</f>
        <v>95.98932</v>
      </c>
      <c r="F585" s="27">
        <f>ROUND(95.98932354931,5)</f>
        <v>95.98932</v>
      </c>
      <c r="G585" s="24"/>
      <c r="H585" s="25"/>
    </row>
    <row r="586" spans="1:8" ht="12.75" customHeight="1">
      <c r="A586" s="23" t="s">
        <v>110</v>
      </c>
      <c r="B586" s="23"/>
      <c r="C586" s="28"/>
      <c r="D586" s="28"/>
      <c r="E586" s="28"/>
      <c r="F586" s="28"/>
      <c r="G586" s="24"/>
      <c r="H586" s="25"/>
    </row>
    <row r="587" spans="1:8" ht="12.75" customHeight="1">
      <c r="A587" s="23">
        <v>44460</v>
      </c>
      <c r="B587" s="23"/>
      <c r="C587" s="27">
        <f>ROUND(98.7808284600049,5)</f>
        <v>98.78083</v>
      </c>
      <c r="D587" s="27">
        <f>F587</f>
        <v>96.2509</v>
      </c>
      <c r="E587" s="27">
        <f>F587</f>
        <v>96.2509</v>
      </c>
      <c r="F587" s="27">
        <f>ROUND(96.250898506526,5)</f>
        <v>96.2509</v>
      </c>
      <c r="G587" s="24"/>
      <c r="H587" s="25"/>
    </row>
    <row r="588" spans="1:8" ht="12.75" customHeight="1">
      <c r="A588" s="23" t="s">
        <v>111</v>
      </c>
      <c r="B588" s="23"/>
      <c r="C588" s="28"/>
      <c r="D588" s="28"/>
      <c r="E588" s="28"/>
      <c r="F588" s="28"/>
      <c r="G588" s="24"/>
      <c r="H588" s="25"/>
    </row>
    <row r="589" spans="1:8" ht="12.75" customHeight="1">
      <c r="A589" s="23">
        <v>44551</v>
      </c>
      <c r="B589" s="23"/>
      <c r="C589" s="27">
        <f>ROUND(98.7808284600049,5)</f>
        <v>98.78083</v>
      </c>
      <c r="D589" s="27">
        <f>F589</f>
        <v>98.50842</v>
      </c>
      <c r="E589" s="27">
        <f>F589</f>
        <v>98.50842</v>
      </c>
      <c r="F589" s="27">
        <f>ROUND(98.5084162700482,5)</f>
        <v>98.50842</v>
      </c>
      <c r="G589" s="24"/>
      <c r="H589" s="25"/>
    </row>
    <row r="590" spans="1:8" ht="12.75" customHeight="1">
      <c r="A590" s="23" t="s">
        <v>112</v>
      </c>
      <c r="B590" s="23"/>
      <c r="C590" s="28"/>
      <c r="D590" s="28"/>
      <c r="E590" s="28"/>
      <c r="F590" s="28"/>
      <c r="G590" s="24"/>
      <c r="H590" s="25"/>
    </row>
    <row r="591" spans="1:8" ht="12.75" customHeight="1">
      <c r="A591" s="23">
        <v>44635</v>
      </c>
      <c r="B591" s="23"/>
      <c r="C591" s="27">
        <f>ROUND(98.7808284600049,5)</f>
        <v>98.78083</v>
      </c>
      <c r="D591" s="27">
        <f>F591</f>
        <v>98.71768</v>
      </c>
      <c r="E591" s="27">
        <f>F591</f>
        <v>98.71768</v>
      </c>
      <c r="F591" s="27">
        <f>ROUND(98.7176788694803,5)</f>
        <v>98.71768</v>
      </c>
      <c r="G591" s="24"/>
      <c r="H591" s="25"/>
    </row>
    <row r="592" spans="1:8" ht="12.75" customHeight="1">
      <c r="A592" s="23" t="s">
        <v>113</v>
      </c>
      <c r="B592" s="23"/>
      <c r="C592" s="28"/>
      <c r="D592" s="28"/>
      <c r="E592" s="28"/>
      <c r="F592" s="28"/>
      <c r="G592" s="24"/>
      <c r="H592" s="25"/>
    </row>
    <row r="593" spans="1:8" ht="12.75" customHeight="1">
      <c r="A593" s="23">
        <v>44733</v>
      </c>
      <c r="B593" s="23"/>
      <c r="C593" s="27">
        <f>ROUND(98.7808284600049,5)</f>
        <v>98.78083</v>
      </c>
      <c r="D593" s="27">
        <f>F593</f>
        <v>99.98464</v>
      </c>
      <c r="E593" s="27">
        <f>F593</f>
        <v>99.98464</v>
      </c>
      <c r="F593" s="27">
        <f>ROUND(99.9846413164789,5)</f>
        <v>99.98464</v>
      </c>
      <c r="G593" s="24"/>
      <c r="H593" s="25"/>
    </row>
    <row r="594" spans="1:8" ht="12.75" customHeight="1">
      <c r="A594" s="23" t="s">
        <v>114</v>
      </c>
      <c r="B594" s="23"/>
      <c r="C594" s="28"/>
      <c r="D594" s="28"/>
      <c r="E594" s="28"/>
      <c r="F594" s="28"/>
      <c r="G594" s="24"/>
      <c r="H594" s="25"/>
    </row>
    <row r="595" spans="1:8" ht="12.75" customHeight="1">
      <c r="A595" s="23">
        <v>44824</v>
      </c>
      <c r="B595" s="23"/>
      <c r="C595" s="27">
        <f>ROUND(98.7808284600049,5)</f>
        <v>98.78083</v>
      </c>
      <c r="D595" s="27">
        <f>F595</f>
        <v>102.23917</v>
      </c>
      <c r="E595" s="27">
        <f>F595</f>
        <v>102.23917</v>
      </c>
      <c r="F595" s="27">
        <f>ROUND(102.23917330819,5)</f>
        <v>102.23917</v>
      </c>
      <c r="G595" s="24"/>
      <c r="H595" s="25"/>
    </row>
    <row r="596" spans="1:8" ht="12.75" customHeight="1">
      <c r="A596" s="23" t="s">
        <v>115</v>
      </c>
      <c r="B596" s="23"/>
      <c r="C596" s="28"/>
      <c r="D596" s="28"/>
      <c r="E596" s="28"/>
      <c r="F596" s="28"/>
      <c r="G596" s="24"/>
      <c r="H596" s="25"/>
    </row>
    <row r="597" spans="1:8" ht="12.75" customHeight="1">
      <c r="A597" s="23">
        <v>46008</v>
      </c>
      <c r="B597" s="23"/>
      <c r="C597" s="27">
        <f>ROUND(99.2260338075755,5)</f>
        <v>99.22603</v>
      </c>
      <c r="D597" s="27">
        <f>F597</f>
        <v>97.40787</v>
      </c>
      <c r="E597" s="27">
        <f>F597</f>
        <v>97.40787</v>
      </c>
      <c r="F597" s="27">
        <f>ROUND(97.4078739855545,5)</f>
        <v>97.40787</v>
      </c>
      <c r="G597" s="24"/>
      <c r="H597" s="25"/>
    </row>
    <row r="598" spans="1:8" ht="12.75" customHeight="1">
      <c r="A598" s="23" t="s">
        <v>116</v>
      </c>
      <c r="B598" s="23"/>
      <c r="C598" s="28"/>
      <c r="D598" s="28"/>
      <c r="E598" s="28"/>
      <c r="F598" s="28"/>
      <c r="G598" s="24"/>
      <c r="H598" s="25"/>
    </row>
    <row r="599" spans="1:8" ht="12.75" customHeight="1">
      <c r="A599" s="23">
        <v>46097</v>
      </c>
      <c r="B599" s="23"/>
      <c r="C599" s="27">
        <f>ROUND(99.2260338075755,5)</f>
        <v>99.22603</v>
      </c>
      <c r="D599" s="27">
        <f>F599</f>
        <v>94.4828</v>
      </c>
      <c r="E599" s="27">
        <f>F599</f>
        <v>94.4828</v>
      </c>
      <c r="F599" s="27">
        <f>ROUND(94.4827971341974,5)</f>
        <v>94.4828</v>
      </c>
      <c r="G599" s="24"/>
      <c r="H599" s="25"/>
    </row>
    <row r="600" spans="1:8" ht="12.75" customHeight="1">
      <c r="A600" s="23" t="s">
        <v>117</v>
      </c>
      <c r="B600" s="23"/>
      <c r="C600" s="28"/>
      <c r="D600" s="28"/>
      <c r="E600" s="28"/>
      <c r="F600" s="28"/>
      <c r="G600" s="24"/>
      <c r="H600" s="25"/>
    </row>
    <row r="601" spans="1:8" ht="12.75" customHeight="1">
      <c r="A601" s="23">
        <v>46188</v>
      </c>
      <c r="B601" s="23"/>
      <c r="C601" s="27">
        <f>ROUND(99.2260338075755,5)</f>
        <v>99.22603</v>
      </c>
      <c r="D601" s="27">
        <f>F601</f>
        <v>93.27016</v>
      </c>
      <c r="E601" s="27">
        <f>F601</f>
        <v>93.27016</v>
      </c>
      <c r="F601" s="27">
        <f>ROUND(93.2701569215201,5)</f>
        <v>93.27016</v>
      </c>
      <c r="G601" s="24"/>
      <c r="H601" s="25"/>
    </row>
    <row r="602" spans="1:8" ht="12.75" customHeight="1">
      <c r="A602" s="23" t="s">
        <v>118</v>
      </c>
      <c r="B602" s="23"/>
      <c r="C602" s="28"/>
      <c r="D602" s="28"/>
      <c r="E602" s="28"/>
      <c r="F602" s="28"/>
      <c r="G602" s="24"/>
      <c r="H602" s="25"/>
    </row>
    <row r="603" spans="1:8" ht="12.75" customHeight="1">
      <c r="A603" s="23">
        <v>46286</v>
      </c>
      <c r="B603" s="23"/>
      <c r="C603" s="27">
        <f>ROUND(99.2260338075755,5)</f>
        <v>99.22603</v>
      </c>
      <c r="D603" s="27">
        <f>F603</f>
        <v>95.41307</v>
      </c>
      <c r="E603" s="27">
        <f>F603</f>
        <v>95.41307</v>
      </c>
      <c r="F603" s="27">
        <f>ROUND(95.4130665491861,5)</f>
        <v>95.41307</v>
      </c>
      <c r="G603" s="24"/>
      <c r="H603" s="25"/>
    </row>
    <row r="604" spans="1:8" ht="12.75" customHeight="1">
      <c r="A604" s="23" t="s">
        <v>119</v>
      </c>
      <c r="B604" s="23"/>
      <c r="C604" s="28"/>
      <c r="D604" s="28"/>
      <c r="E604" s="28"/>
      <c r="F604" s="28"/>
      <c r="G604" s="24"/>
      <c r="H604" s="25"/>
    </row>
    <row r="605" spans="1:8" ht="12.75" customHeight="1">
      <c r="A605" s="23">
        <v>46377</v>
      </c>
      <c r="B605" s="23"/>
      <c r="C605" s="27">
        <f>ROUND(99.2260338075755,5)</f>
        <v>99.22603</v>
      </c>
      <c r="D605" s="27">
        <f>F605</f>
        <v>99.14809</v>
      </c>
      <c r="E605" s="27">
        <f>F605</f>
        <v>99.14809</v>
      </c>
      <c r="F605" s="27">
        <f>ROUND(99.1480851967432,5)</f>
        <v>99.14809</v>
      </c>
      <c r="G605" s="24"/>
      <c r="H605" s="25"/>
    </row>
    <row r="606" spans="1:8" ht="12.75" customHeight="1">
      <c r="A606" s="23" t="s">
        <v>120</v>
      </c>
      <c r="B606" s="23"/>
      <c r="C606" s="28"/>
      <c r="D606" s="28"/>
      <c r="E606" s="28"/>
      <c r="F606" s="28"/>
      <c r="G606" s="24"/>
      <c r="H606" s="25"/>
    </row>
    <row r="607" spans="1:8" ht="12.75" customHeight="1">
      <c r="A607" s="23">
        <v>46461</v>
      </c>
      <c r="B607" s="23"/>
      <c r="C607" s="27">
        <f>ROUND(99.2260338075755,5)</f>
        <v>99.22603</v>
      </c>
      <c r="D607" s="27">
        <f>F607</f>
        <v>97.76094</v>
      </c>
      <c r="E607" s="27">
        <f>F607</f>
        <v>97.76094</v>
      </c>
      <c r="F607" s="27">
        <f>ROUND(97.7609409401554,5)</f>
        <v>97.76094</v>
      </c>
      <c r="G607" s="24"/>
      <c r="H607" s="25"/>
    </row>
    <row r="608" spans="1:8" ht="12.75" customHeight="1">
      <c r="A608" s="23" t="s">
        <v>121</v>
      </c>
      <c r="B608" s="23"/>
      <c r="C608" s="28"/>
      <c r="D608" s="28"/>
      <c r="E608" s="28"/>
      <c r="F608" s="28"/>
      <c r="G608" s="24"/>
      <c r="H608" s="25"/>
    </row>
    <row r="609" spans="1:8" ht="12.75" customHeight="1">
      <c r="A609" s="23">
        <v>46559</v>
      </c>
      <c r="B609" s="23"/>
      <c r="C609" s="27">
        <f>ROUND(99.2260338075755,5)</f>
        <v>99.22603</v>
      </c>
      <c r="D609" s="27">
        <f>F609</f>
        <v>99.81102</v>
      </c>
      <c r="E609" s="27">
        <f>F609</f>
        <v>99.81102</v>
      </c>
      <c r="F609" s="27">
        <f>ROUND(99.8110238534776,5)</f>
        <v>99.81102</v>
      </c>
      <c r="G609" s="24"/>
      <c r="H609" s="25"/>
    </row>
    <row r="610" spans="1:8" ht="12.75" customHeight="1">
      <c r="A610" s="23" t="s">
        <v>122</v>
      </c>
      <c r="B610" s="23"/>
      <c r="C610" s="28"/>
      <c r="D610" s="28"/>
      <c r="E610" s="28"/>
      <c r="F610" s="28"/>
      <c r="G610" s="24"/>
      <c r="H610" s="25"/>
    </row>
    <row r="611" spans="1:8" ht="12.75" customHeight="1" thickBot="1">
      <c r="A611" s="31">
        <v>46650</v>
      </c>
      <c r="B611" s="31"/>
      <c r="C611" s="32">
        <f>ROUND(99.2260338075755,5)</f>
        <v>99.22603</v>
      </c>
      <c r="D611" s="32">
        <f>F611</f>
        <v>103.48104</v>
      </c>
      <c r="E611" s="32">
        <f>F611</f>
        <v>103.48104</v>
      </c>
      <c r="F611" s="32">
        <f>ROUND(103.481041245846,5)</f>
        <v>103.48104</v>
      </c>
      <c r="G611" s="33"/>
      <c r="H611" s="34"/>
    </row>
  </sheetData>
  <sheetProtection/>
  <mergeCells count="610">
    <mergeCell ref="A610:B610"/>
    <mergeCell ref="A611:B611"/>
    <mergeCell ref="A604:B604"/>
    <mergeCell ref="A605:B605"/>
    <mergeCell ref="A606:B606"/>
    <mergeCell ref="A607:B607"/>
    <mergeCell ref="A608:B608"/>
    <mergeCell ref="A609:B609"/>
    <mergeCell ref="A598:B598"/>
    <mergeCell ref="A599:B599"/>
    <mergeCell ref="A600:B600"/>
    <mergeCell ref="A601:B601"/>
    <mergeCell ref="A602:B602"/>
    <mergeCell ref="A603:B603"/>
    <mergeCell ref="A592:B592"/>
    <mergeCell ref="A593:B593"/>
    <mergeCell ref="A594:B594"/>
    <mergeCell ref="A595:B595"/>
    <mergeCell ref="A596:B596"/>
    <mergeCell ref="A597:B597"/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2017-12-18T16:27:27Z</dcterms:modified>
  <cp:category/>
  <cp:version/>
  <cp:contentType/>
  <cp:contentStatus/>
</cp:coreProperties>
</file>