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<sst xmlns="http://schemas.openxmlformats.org/spreadsheetml/2006/main" count="130" uniqueCount="126">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</sst>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ROUND(100.167773084638,2)</f>
        <v>100.17</v>
      </c>
      <c r="D6" s="24">
        <f>F6</f>
        <v>99.91</v>
      </c>
      <c r="E6" s="24">
        <f>F6</f>
        <v>99.91</v>
      </c>
      <c r="F6" s="24">
        <f>ROUND(99.9071560639239,2)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ROUND(100.167773084638,2)</f>
        <v>100.17</v>
      </c>
      <c r="D7" s="24">
        <f>F7</f>
        <v>100.05</v>
      </c>
      <c r="E7" s="24">
        <f>F7</f>
        <v>100.05</v>
      </c>
      <c r="F7" s="24">
        <f>ROUND(100.047082285901,2)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ROUND(100.167773084638,2)</f>
        <v>100.17</v>
      </c>
      <c r="D8" s="24">
        <f>F8</f>
        <v>100.5</v>
      </c>
      <c r="E8" s="24">
        <f>F8</f>
        <v>100.5</v>
      </c>
      <c r="F8" s="24">
        <f>ROUND(100.495672888763,2)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ROUND(100.167773084638,2)</f>
        <v>100.17</v>
      </c>
      <c r="D9" s="24">
        <f>F9</f>
        <v>99.49</v>
      </c>
      <c r="E9" s="24">
        <f>F9</f>
        <v>99.49</v>
      </c>
      <c r="F9" s="24">
        <f>ROUND(99.4916789143108,2)</f>
        <v>99.49</v>
      </c>
      <c r="G9" s="24"/>
      <c r="H9" s="35"/>
    </row>
    <row r="10" spans="1:8" ht="12.75" customHeight="1">
      <c r="A10" s="22">
        <v>43636</v>
      </c>
      <c r="B10" s="22"/>
      <c r="C10" s="24">
        <f>ROUND(100.167773084638,2)</f>
        <v>100.17</v>
      </c>
      <c r="D10" s="24">
        <f>F10</f>
        <v>100.17</v>
      </c>
      <c r="E10" s="24">
        <f>F10</f>
        <v>100.17</v>
      </c>
      <c r="F10" s="24">
        <f>ROUND(100.167773084638,2)</f>
        <v>100.17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ROUND(100.542652209641,2)</f>
        <v>100.54</v>
      </c>
      <c r="D12" s="24">
        <f>F12</f>
        <v>98.59</v>
      </c>
      <c r="E12" s="24">
        <f>F12</f>
        <v>98.59</v>
      </c>
      <c r="F12" s="24">
        <f>ROUND(98.593136586464,2)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ROUND(100.542652209641,2)</f>
        <v>100.54</v>
      </c>
      <c r="D13" s="24">
        <f>F13</f>
        <v>98.52</v>
      </c>
      <c r="E13" s="24">
        <f>F13</f>
        <v>98.52</v>
      </c>
      <c r="F13" s="24">
        <f>ROUND(98.5170295589578,2)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ROUND(100.542652209641,2)</f>
        <v>100.54</v>
      </c>
      <c r="D14" s="24">
        <f>F14</f>
        <v>98.88</v>
      </c>
      <c r="E14" s="24">
        <f>F14</f>
        <v>98.88</v>
      </c>
      <c r="F14" s="24">
        <f>ROUND(98.8755806266397,2)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ROUND(100.542652209641,2)</f>
        <v>100.54</v>
      </c>
      <c r="D15" s="24">
        <f>F15</f>
        <v>99.24</v>
      </c>
      <c r="E15" s="24">
        <f>F15</f>
        <v>99.24</v>
      </c>
      <c r="F15" s="24">
        <f>ROUND(99.2404153753967,2)</f>
        <v>99.24</v>
      </c>
      <c r="G15" s="24"/>
      <c r="H15" s="35"/>
    </row>
    <row r="16" spans="1:8" ht="12.75" customHeight="1">
      <c r="A16" s="22">
        <v>43637</v>
      </c>
      <c r="B16" s="22"/>
      <c r="C16" s="24">
        <f>ROUND(100.542652209641,2)</f>
        <v>100.54</v>
      </c>
      <c r="D16" s="24">
        <f>F16</f>
        <v>99.62</v>
      </c>
      <c r="E16" s="24">
        <f>F16</f>
        <v>99.62</v>
      </c>
      <c r="F16" s="24">
        <f>ROUND(99.6200201850704,2)</f>
        <v>99.62</v>
      </c>
      <c r="G16" s="24"/>
      <c r="H16" s="35"/>
    </row>
    <row r="17" spans="1:8" ht="12.75" customHeight="1">
      <c r="A17" s="22">
        <v>43728</v>
      </c>
      <c r="B17" s="22"/>
      <c r="C17" s="24">
        <f>ROUND(100.542652209641,2)</f>
        <v>100.54</v>
      </c>
      <c r="D17" s="24">
        <f>F17</f>
        <v>100</v>
      </c>
      <c r="E17" s="24">
        <f>F17</f>
        <v>100</v>
      </c>
      <c r="F17" s="24">
        <f>ROUND(100.00406813275,2)</f>
        <v>100</v>
      </c>
      <c r="G17" s="24"/>
      <c r="H17" s="35"/>
    </row>
    <row r="18" spans="1:8" ht="12.75" customHeight="1">
      <c r="A18" s="22">
        <v>43819</v>
      </c>
      <c r="B18" s="22"/>
      <c r="C18" s="24">
        <f>ROUND(100.542652209641,2)</f>
        <v>100.54</v>
      </c>
      <c r="D18" s="24">
        <f>F18</f>
        <v>100.94</v>
      </c>
      <c r="E18" s="24">
        <f>F18</f>
        <v>100.94</v>
      </c>
      <c r="F18" s="24">
        <f>ROUND(100.940716634058,2)</f>
        <v>100.94</v>
      </c>
      <c r="G18" s="24"/>
      <c r="H18" s="35"/>
    </row>
    <row r="19" spans="1:8" ht="12.75" customHeight="1">
      <c r="A19" s="22">
        <v>43913</v>
      </c>
      <c r="B19" s="22"/>
      <c r="C19" s="24">
        <f>ROUND(100.542652209641,2)</f>
        <v>100.54</v>
      </c>
      <c r="D19" s="24">
        <f>F19</f>
        <v>98.68</v>
      </c>
      <c r="E19" s="24">
        <f>F19</f>
        <v>98.68</v>
      </c>
      <c r="F19" s="24">
        <f>ROUND(98.6786989749704,2)</f>
        <v>98.68</v>
      </c>
      <c r="G19" s="24"/>
      <c r="H19" s="35"/>
    </row>
    <row r="20" spans="1:8" ht="12.75" customHeight="1">
      <c r="A20" s="22">
        <v>44004</v>
      </c>
      <c r="B20" s="22"/>
      <c r="C20" s="24">
        <f>ROUND(100.542652209641,2)</f>
        <v>100.54</v>
      </c>
      <c r="D20" s="24">
        <f>F20</f>
        <v>100.54</v>
      </c>
      <c r="E20" s="24">
        <f>F20</f>
        <v>100.54</v>
      </c>
      <c r="F20" s="24">
        <f>ROUND(100.542652209641,2)</f>
        <v>100.54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ROUND(101.13474447071,2)</f>
        <v>101.13</v>
      </c>
      <c r="D22" s="24">
        <f>F22</f>
        <v>96.1</v>
      </c>
      <c r="E22" s="24">
        <f>F22</f>
        <v>96.1</v>
      </c>
      <c r="F22" s="24">
        <f>ROUND(96.1004303136332,2)</f>
        <v>96.1</v>
      </c>
      <c r="G22" s="24"/>
      <c r="H22" s="35"/>
    </row>
    <row r="23" spans="1:8" ht="12.75" customHeight="1">
      <c r="A23" s="22">
        <v>44271</v>
      </c>
      <c r="B23" s="22"/>
      <c r="C23" s="24">
        <f>ROUND(101.13474447071,2)</f>
        <v>101.13</v>
      </c>
      <c r="D23" s="24">
        <f>F23</f>
        <v>95.31</v>
      </c>
      <c r="E23" s="24">
        <f>F23</f>
        <v>95.31</v>
      </c>
      <c r="F23" s="24">
        <f>ROUND(95.3103389462815,2)</f>
        <v>95.31</v>
      </c>
      <c r="G23" s="24"/>
      <c r="H23" s="35"/>
    </row>
    <row r="24" spans="1:8" ht="12.75" customHeight="1">
      <c r="A24" s="22">
        <v>44362</v>
      </c>
      <c r="B24" s="22"/>
      <c r="C24" s="24">
        <f>ROUND(101.13474447071,2)</f>
        <v>101.13</v>
      </c>
      <c r="D24" s="24">
        <f>F24</f>
        <v>94.49</v>
      </c>
      <c r="E24" s="24">
        <f>F24</f>
        <v>94.49</v>
      </c>
      <c r="F24" s="24">
        <f>ROUND(94.4918895702381,2)</f>
        <v>94.49</v>
      </c>
      <c r="G24" s="24"/>
      <c r="H24" s="35"/>
    </row>
    <row r="25" spans="1:8" ht="12.75" customHeight="1">
      <c r="A25" s="22">
        <v>44460</v>
      </c>
      <c r="B25" s="22"/>
      <c r="C25" s="24">
        <f>ROUND(101.13474447071,2)</f>
        <v>101.13</v>
      </c>
      <c r="D25" s="24">
        <f>F25</f>
        <v>94.68</v>
      </c>
      <c r="E25" s="24">
        <f>F25</f>
        <v>94.68</v>
      </c>
      <c r="F25" s="24">
        <f>ROUND(94.6766113702704,2)</f>
        <v>94.68</v>
      </c>
      <c r="G25" s="24"/>
      <c r="H25" s="35"/>
    </row>
    <row r="26" spans="1:8" ht="12.75" customHeight="1">
      <c r="A26" s="22">
        <v>44551</v>
      </c>
      <c r="B26" s="22"/>
      <c r="C26" s="24">
        <f>ROUND(101.13474447071,2)</f>
        <v>101.13</v>
      </c>
      <c r="D26" s="24">
        <f>F26</f>
        <v>96.89</v>
      </c>
      <c r="E26" s="24">
        <f>F26</f>
        <v>96.89</v>
      </c>
      <c r="F26" s="24">
        <f>ROUND(96.8852054854264,2)</f>
        <v>96.89</v>
      </c>
      <c r="G26" s="24"/>
      <c r="H26" s="35"/>
    </row>
    <row r="27" spans="1:8" ht="12.75" customHeight="1">
      <c r="A27" s="22">
        <v>44635</v>
      </c>
      <c r="B27" s="22"/>
      <c r="C27" s="24">
        <f>ROUND(101.13474447071,2)</f>
        <v>101.13</v>
      </c>
      <c r="D27" s="24">
        <f>F27</f>
        <v>97.03</v>
      </c>
      <c r="E27" s="24">
        <f>F27</f>
        <v>97.03</v>
      </c>
      <c r="F27" s="24">
        <f>ROUND(97.0260142729122,2)</f>
        <v>97.03</v>
      </c>
      <c r="G27" s="24"/>
      <c r="H27" s="35"/>
    </row>
    <row r="28" spans="1:8" ht="12.75" customHeight="1">
      <c r="A28" s="22">
        <v>44733</v>
      </c>
      <c r="B28" s="22"/>
      <c r="C28" s="24">
        <f>ROUND(101.13474447071,2)</f>
        <v>101.13</v>
      </c>
      <c r="D28" s="24">
        <f>F28</f>
        <v>98.24</v>
      </c>
      <c r="E28" s="24">
        <f>F28</f>
        <v>98.24</v>
      </c>
      <c r="F28" s="24">
        <f>ROUND(98.237866249767,2)</f>
        <v>98.24</v>
      </c>
      <c r="G28" s="24"/>
      <c r="H28" s="35"/>
    </row>
    <row r="29" spans="1:8" ht="12.75" customHeight="1">
      <c r="A29" s="22">
        <v>44824</v>
      </c>
      <c r="B29" s="22"/>
      <c r="C29" s="24">
        <f>ROUND(101.13474447071,2)</f>
        <v>101.13</v>
      </c>
      <c r="D29" s="24">
        <f>F29</f>
        <v>100.45</v>
      </c>
      <c r="E29" s="24">
        <f>F29</f>
        <v>100.45</v>
      </c>
      <c r="F29" s="24">
        <f>ROUND(100.447681616706,2)</f>
        <v>100.45</v>
      </c>
      <c r="G29" s="24"/>
      <c r="H29" s="35"/>
    </row>
    <row r="30" spans="1:8" ht="12.75" customHeight="1">
      <c r="A30" s="22">
        <v>44915</v>
      </c>
      <c r="B30" s="22"/>
      <c r="C30" s="24">
        <f>ROUND(101.13474447071,2)</f>
        <v>101.13</v>
      </c>
      <c r="D30" s="24">
        <f>F30</f>
        <v>101.71</v>
      </c>
      <c r="E30" s="24">
        <f>F30</f>
        <v>101.71</v>
      </c>
      <c r="F30" s="24">
        <f>ROUND(101.705593426316,2)</f>
        <v>101.71</v>
      </c>
      <c r="G30" s="24"/>
      <c r="H30" s="35"/>
    </row>
    <row r="31" spans="1:8" ht="12.75" customHeight="1">
      <c r="A31" s="22">
        <v>45007</v>
      </c>
      <c r="B31" s="22"/>
      <c r="C31" s="24">
        <f>ROUND(101.13474447071,2)</f>
        <v>101.13</v>
      </c>
      <c r="D31" s="24">
        <f>F31</f>
        <v>96.81</v>
      </c>
      <c r="E31" s="24">
        <f>F31</f>
        <v>96.81</v>
      </c>
      <c r="F31" s="24">
        <f>ROUND(96.8128513604982,2)</f>
        <v>96.81</v>
      </c>
      <c r="G31" s="24"/>
      <c r="H31" s="35"/>
    </row>
    <row r="32" spans="1:8" ht="12.75" customHeight="1">
      <c r="A32" s="22">
        <v>45097</v>
      </c>
      <c r="B32" s="22"/>
      <c r="C32" s="24">
        <f>ROUND(101.13474447071,2)</f>
        <v>101.13</v>
      </c>
      <c r="D32" s="24">
        <f>F32</f>
        <v>101.13</v>
      </c>
      <c r="E32" s="24">
        <f>F32</f>
        <v>101.13</v>
      </c>
      <c r="F32" s="24">
        <f>ROUND(101.13474447071,2)</f>
        <v>101.13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ROUND(101.833548211608,2)</f>
        <v>101.83</v>
      </c>
      <c r="D34" s="24">
        <f>F34</f>
        <v>94.95</v>
      </c>
      <c r="E34" s="24">
        <f>F34</f>
        <v>94.95</v>
      </c>
      <c r="F34" s="24">
        <f>ROUND(94.9520544017992,2)</f>
        <v>94.95</v>
      </c>
      <c r="G34" s="24"/>
      <c r="H34" s="35"/>
    </row>
    <row r="35" spans="1:8" ht="12.75" customHeight="1">
      <c r="A35" s="22">
        <v>46097</v>
      </c>
      <c r="B35" s="22"/>
      <c r="C35" s="24">
        <f>ROUND(101.833548211608,2)</f>
        <v>101.83</v>
      </c>
      <c r="D35" s="24">
        <f>F35</f>
        <v>91.93</v>
      </c>
      <c r="E35" s="24">
        <f>F35</f>
        <v>91.93</v>
      </c>
      <c r="F35" s="24">
        <f>ROUND(91.9336225160548,2)</f>
        <v>91.93</v>
      </c>
      <c r="G35" s="24"/>
      <c r="H35" s="35"/>
    </row>
    <row r="36" spans="1:8" ht="12.75" customHeight="1">
      <c r="A36" s="22">
        <v>46188</v>
      </c>
      <c r="B36" s="22"/>
      <c r="C36" s="24">
        <f>ROUND(101.833548211608,2)</f>
        <v>101.83</v>
      </c>
      <c r="D36" s="24">
        <f>F36</f>
        <v>90.65</v>
      </c>
      <c r="E36" s="24">
        <f>F36</f>
        <v>90.65</v>
      </c>
      <c r="F36" s="24">
        <f>ROUND(90.6485075049297,2)</f>
        <v>90.65</v>
      </c>
      <c r="G36" s="24"/>
      <c r="H36" s="35"/>
    </row>
    <row r="37" spans="1:8" ht="12.75" customHeight="1">
      <c r="A37" s="22">
        <v>46286</v>
      </c>
      <c r="B37" s="22"/>
      <c r="C37" s="24">
        <f>ROUND(101.833548211608,2)</f>
        <v>101.83</v>
      </c>
      <c r="D37" s="24">
        <f>F37</f>
        <v>92.78</v>
      </c>
      <c r="E37" s="24">
        <f>F37</f>
        <v>92.78</v>
      </c>
      <c r="F37" s="24">
        <f>ROUND(92.7834711462211,2)</f>
        <v>92.78</v>
      </c>
      <c r="G37" s="24"/>
      <c r="H37" s="35"/>
    </row>
    <row r="38" spans="1:8" ht="12.75" customHeight="1">
      <c r="A38" s="22">
        <v>46377</v>
      </c>
      <c r="B38" s="22"/>
      <c r="C38" s="24">
        <f>ROUND(101.833548211608,2)</f>
        <v>101.83</v>
      </c>
      <c r="D38" s="24">
        <f>F38</f>
        <v>96.54</v>
      </c>
      <c r="E38" s="24">
        <f>F38</f>
        <v>96.54</v>
      </c>
      <c r="F38" s="24">
        <f>ROUND(96.5367691227084,2)</f>
        <v>96.54</v>
      </c>
      <c r="G38" s="24"/>
      <c r="H38" s="35"/>
    </row>
    <row r="39" spans="1:8" ht="12.75" customHeight="1">
      <c r="A39" s="22">
        <v>46461</v>
      </c>
      <c r="B39" s="22"/>
      <c r="C39" s="24">
        <f>ROUND(101.833548211608,2)</f>
        <v>101.83</v>
      </c>
      <c r="D39" s="24">
        <f>F39</f>
        <v>95.07</v>
      </c>
      <c r="E39" s="24">
        <f>F39</f>
        <v>95.07</v>
      </c>
      <c r="F39" s="24">
        <f>ROUND(95.0683827034014,2)</f>
        <v>95.07</v>
      </c>
      <c r="G39" s="24"/>
      <c r="H39" s="35"/>
    </row>
    <row r="40" spans="1:8" ht="12.75" customHeight="1">
      <c r="A40" s="22">
        <v>46559</v>
      </c>
      <c r="B40" s="22"/>
      <c r="C40" s="24">
        <f>ROUND(101.833548211608,2)</f>
        <v>101.83</v>
      </c>
      <c r="D40" s="24">
        <f>F40</f>
        <v>97.12</v>
      </c>
      <c r="E40" s="24">
        <f>F40</f>
        <v>97.12</v>
      </c>
      <c r="F40" s="24">
        <f>ROUND(97.1194991746182,2)</f>
        <v>97.12</v>
      </c>
      <c r="G40" s="24"/>
      <c r="H40" s="35"/>
    </row>
    <row r="41" spans="1:8" ht="12.75" customHeight="1">
      <c r="A41" s="22">
        <v>46650</v>
      </c>
      <c r="B41" s="22"/>
      <c r="C41" s="24">
        <f>ROUND(101.833548211608,2)</f>
        <v>101.83</v>
      </c>
      <c r="D41" s="24">
        <f>F41</f>
        <v>100.82</v>
      </c>
      <c r="E41" s="24">
        <f>F41</f>
        <v>100.82</v>
      </c>
      <c r="F41" s="24">
        <f>ROUND(100.824418866302,2)</f>
        <v>100.82</v>
      </c>
      <c r="G41" s="24"/>
      <c r="H41" s="35"/>
    </row>
    <row r="42" spans="1:8" ht="12.75" customHeight="1">
      <c r="A42" s="22">
        <v>46741</v>
      </c>
      <c r="B42" s="22"/>
      <c r="C42" s="24">
        <f>ROUND(101.833548211608,2)</f>
        <v>101.83</v>
      </c>
      <c r="D42" s="24">
        <f>F42</f>
        <v>101.16</v>
      </c>
      <c r="E42" s="24">
        <f>F42</f>
        <v>101.16</v>
      </c>
      <c r="F42" s="24">
        <f>ROUND(101.161978766238,2)</f>
        <v>101.16</v>
      </c>
      <c r="G42" s="24"/>
      <c r="H42" s="35"/>
    </row>
    <row r="43" spans="1:8" ht="12.75" customHeight="1">
      <c r="A43" s="22">
        <v>46834</v>
      </c>
      <c r="B43" s="22"/>
      <c r="C43" s="24">
        <f>ROUND(101.833548211608,2)</f>
        <v>101.83</v>
      </c>
      <c r="D43" s="24">
        <f>F43</f>
        <v>96.39</v>
      </c>
      <c r="E43" s="24">
        <f>F43</f>
        <v>96.39</v>
      </c>
      <c r="F43" s="24">
        <f>ROUND(96.3901188593064,2)</f>
        <v>96.39</v>
      </c>
      <c r="G43" s="24"/>
      <c r="H43" s="35"/>
    </row>
    <row r="44" spans="1:8" ht="12.75" customHeight="1">
      <c r="A44" s="22">
        <v>46924</v>
      </c>
      <c r="B44" s="22"/>
      <c r="C44" s="24">
        <f>ROUND(101.833548211608,2)</f>
        <v>101.83</v>
      </c>
      <c r="D44" s="24">
        <f>F44</f>
        <v>101.83</v>
      </c>
      <c r="E44" s="24">
        <f>F44</f>
        <v>101.83</v>
      </c>
      <c r="F44" s="24">
        <f>ROUND(101.833548211608,2)</f>
        <v>101.83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ROUND(2.38,5)</f>
        <v>2.38</v>
      </c>
      <c r="D46" s="26">
        <f>F46</f>
        <v>2.38</v>
      </c>
      <c r="E46" s="26">
        <f>F46</f>
        <v>2.38</v>
      </c>
      <c r="F46" s="26">
        <f>ROUND(2.38,5)</f>
        <v>2.38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ROUND(2.75,5)</f>
        <v>2.75</v>
      </c>
      <c r="D48" s="26">
        <f>F48</f>
        <v>2.75</v>
      </c>
      <c r="E48" s="26">
        <f>F48</f>
        <v>2.75</v>
      </c>
      <c r="F48" s="26">
        <f>ROUND(2.75,5)</f>
        <v>2.75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ROUND(2.9,5)</f>
        <v>2.9</v>
      </c>
      <c r="D50" s="26">
        <f>F50</f>
        <v>2.9</v>
      </c>
      <c r="E50" s="26">
        <f>F50</f>
        <v>2.9</v>
      </c>
      <c r="F50" s="26">
        <f>ROUND(2.9,5)</f>
        <v>2.9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ROUND(10.73,5)</f>
        <v>10.73</v>
      </c>
      <c r="D54" s="26">
        <f>F54</f>
        <v>10.73</v>
      </c>
      <c r="E54" s="26">
        <f>F54</f>
        <v>10.73</v>
      </c>
      <c r="F54" s="26">
        <f>ROUND(10.73,5)</f>
        <v>10.73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ROUND(8.025,5)</f>
        <v>8.025</v>
      </c>
      <c r="D56" s="26">
        <f>F56</f>
        <v>8.025</v>
      </c>
      <c r="E56" s="26">
        <f>F56</f>
        <v>8.025</v>
      </c>
      <c r="F56" s="26">
        <f>ROUND(8.025,5)</f>
        <v>8.025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ROUND(8.66,3)</f>
        <v>8.66</v>
      </c>
      <c r="D58" s="27">
        <f>F58</f>
        <v>8.66</v>
      </c>
      <c r="E58" s="27">
        <f>F58</f>
        <v>8.66</v>
      </c>
      <c r="F58" s="27">
        <f>ROUND(8.66,3)</f>
        <v>8.66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ROUND(2.68,3)</f>
        <v>2.68</v>
      </c>
      <c r="D62" s="27">
        <f>F62</f>
        <v>2.68</v>
      </c>
      <c r="E62" s="27">
        <f>F62</f>
        <v>2.68</v>
      </c>
      <c r="F62" s="27">
        <f>ROUND(2.68,3)</f>
        <v>2.68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ROUND(6.72,3)</f>
        <v>6.72</v>
      </c>
      <c r="D64" s="27">
        <f>F64</f>
        <v>6.72</v>
      </c>
      <c r="E64" s="27">
        <f>F64</f>
        <v>6.72</v>
      </c>
      <c r="F64" s="27">
        <f>ROUND(6.72,3)</f>
        <v>6.72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ROUND(7.4,3)</f>
        <v>7.4</v>
      </c>
      <c r="D66" s="27">
        <f>F66</f>
        <v>7.4</v>
      </c>
      <c r="E66" s="27">
        <f>F66</f>
        <v>7.4</v>
      </c>
      <c r="F66" s="27">
        <f>ROUND(7.4,3)</f>
        <v>7.4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ROUND(7.67,3)</f>
        <v>7.67</v>
      </c>
      <c r="D68" s="27">
        <f>F68</f>
        <v>7.67</v>
      </c>
      <c r="E68" s="27">
        <f>F68</f>
        <v>7.67</v>
      </c>
      <c r="F68" s="27">
        <f>ROUND(7.67,3)</f>
        <v>7.67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ROUND(9.4,3)</f>
        <v>9.4</v>
      </c>
      <c r="D70" s="27">
        <f>F70</f>
        <v>9.4</v>
      </c>
      <c r="E70" s="27">
        <f>F70</f>
        <v>9.4</v>
      </c>
      <c r="F70" s="27">
        <f>ROUND(9.4,3)</f>
        <v>9.4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ROUND(2.63,3)</f>
        <v>2.63</v>
      </c>
      <c r="D72" s="27">
        <f>F72</f>
        <v>2.63</v>
      </c>
      <c r="E72" s="27">
        <f>F72</f>
        <v>2.63</v>
      </c>
      <c r="F72" s="27">
        <f>ROUND(2.63,3)</f>
        <v>2.63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ROUND(2.25,3)</f>
        <v>2.25</v>
      </c>
      <c r="D74" s="27">
        <f>F74</f>
        <v>2.25</v>
      </c>
      <c r="E74" s="27">
        <f>F74</f>
        <v>2.25</v>
      </c>
      <c r="F74" s="27">
        <f>ROUND(2.25,3)</f>
        <v>2.25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ROUND(9.18,3)</f>
        <v>9.18</v>
      </c>
      <c r="D76" s="27">
        <f>F76</f>
        <v>9.18</v>
      </c>
      <c r="E76" s="27">
        <f>F76</f>
        <v>9.18</v>
      </c>
      <c r="F76" s="27">
        <f>ROUND(9.18,3)</f>
        <v>9.18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ROUND(2.38,5)</f>
        <v>2.38</v>
      </c>
      <c r="D78" s="26">
        <f>F78</f>
        <v>134.41365</v>
      </c>
      <c r="E78" s="26">
        <f>F78</f>
        <v>134.41365</v>
      </c>
      <c r="F78" s="26">
        <f>ROUND(134.41365,5)</f>
        <v>134.41365</v>
      </c>
      <c r="G78" s="24"/>
      <c r="H78" s="35"/>
    </row>
    <row r="79" spans="1:8" ht="12.75" customHeight="1">
      <c r="A79" s="22">
        <v>43405</v>
      </c>
      <c r="B79" s="22"/>
      <c r="C79" s="26">
        <f>ROUND(2.38,5)</f>
        <v>2.38</v>
      </c>
      <c r="D79" s="26">
        <f>F79</f>
        <v>136.84276</v>
      </c>
      <c r="E79" s="26">
        <f>F79</f>
        <v>136.84276</v>
      </c>
      <c r="F79" s="26">
        <f>ROUND(136.84276,5)</f>
        <v>136.84276</v>
      </c>
      <c r="G79" s="24"/>
      <c r="H79" s="35"/>
    </row>
    <row r="80" spans="1:8" ht="12.75" customHeight="1">
      <c r="A80" s="22">
        <v>43503</v>
      </c>
      <c r="B80" s="22"/>
      <c r="C80" s="26">
        <f>ROUND(2.38,5)</f>
        <v>2.38</v>
      </c>
      <c r="D80" s="26">
        <f>F80</f>
        <v>138.11347</v>
      </c>
      <c r="E80" s="26">
        <f>F80</f>
        <v>138.11347</v>
      </c>
      <c r="F80" s="26">
        <f>ROUND(138.11347,5)</f>
        <v>138.11347</v>
      </c>
      <c r="G80" s="24"/>
      <c r="H80" s="35"/>
    </row>
    <row r="81" spans="1:8" ht="12.75" customHeight="1">
      <c r="A81" s="22">
        <v>43587</v>
      </c>
      <c r="B81" s="22"/>
      <c r="C81" s="26">
        <f>ROUND(2.38,5)</f>
        <v>2.38</v>
      </c>
      <c r="D81" s="26">
        <f>F81</f>
        <v>140.47587</v>
      </c>
      <c r="E81" s="26">
        <f>F81</f>
        <v>140.47587</v>
      </c>
      <c r="F81" s="26">
        <f>ROUND(140.47587,5)</f>
        <v>140.47587</v>
      </c>
      <c r="G81" s="24"/>
      <c r="H81" s="35"/>
    </row>
    <row r="82" spans="1:8" ht="12.75" customHeight="1">
      <c r="A82" s="22">
        <v>43678</v>
      </c>
      <c r="B82" s="22"/>
      <c r="C82" s="26">
        <f>ROUND(2.38,5)</f>
        <v>2.38</v>
      </c>
      <c r="D82" s="26">
        <f>F82</f>
        <v>142.97602</v>
      </c>
      <c r="E82" s="26">
        <f>F82</f>
        <v>142.97602</v>
      </c>
      <c r="F82" s="26">
        <f>ROUND(142.97602,5)</f>
        <v>142.97602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ROUND(101.54009,5)</f>
        <v>101.54009</v>
      </c>
      <c r="D84" s="26">
        <f>F84</f>
        <v>102.6831</v>
      </c>
      <c r="E84" s="26">
        <f>F84</f>
        <v>102.6831</v>
      </c>
      <c r="F84" s="26">
        <f>ROUND(102.6831,5)</f>
        <v>102.6831</v>
      </c>
      <c r="G84" s="24"/>
      <c r="H84" s="35"/>
    </row>
    <row r="85" spans="1:8" ht="12.75" customHeight="1">
      <c r="A85" s="22">
        <v>43405</v>
      </c>
      <c r="B85" s="22"/>
      <c r="C85" s="26">
        <f>ROUND(101.54009,5)</f>
        <v>101.54009</v>
      </c>
      <c r="D85" s="26">
        <f>F85</f>
        <v>103.48925</v>
      </c>
      <c r="E85" s="26">
        <f>F85</f>
        <v>103.48925</v>
      </c>
      <c r="F85" s="26">
        <f>ROUND(103.48925,5)</f>
        <v>103.48925</v>
      </c>
      <c r="G85" s="24"/>
      <c r="H85" s="35"/>
    </row>
    <row r="86" spans="1:8" ht="12.75" customHeight="1">
      <c r="A86" s="22">
        <v>43503</v>
      </c>
      <c r="B86" s="22"/>
      <c r="C86" s="26">
        <f>ROUND(101.54009,5)</f>
        <v>101.54009</v>
      </c>
      <c r="D86" s="26">
        <f>F86</f>
        <v>105.51922</v>
      </c>
      <c r="E86" s="26">
        <f>F86</f>
        <v>105.51922</v>
      </c>
      <c r="F86" s="26">
        <f>ROUND(105.51922,5)</f>
        <v>105.51922</v>
      </c>
      <c r="G86" s="24"/>
      <c r="H86" s="35"/>
    </row>
    <row r="87" spans="1:8" ht="12.75" customHeight="1">
      <c r="A87" s="22">
        <v>43587</v>
      </c>
      <c r="B87" s="22"/>
      <c r="C87" s="26">
        <f>ROUND(101.54009,5)</f>
        <v>101.54009</v>
      </c>
      <c r="D87" s="26">
        <f>F87</f>
        <v>106.25347</v>
      </c>
      <c r="E87" s="26">
        <f>F87</f>
        <v>106.25347</v>
      </c>
      <c r="F87" s="26">
        <f>ROUND(106.25347,5)</f>
        <v>106.25347</v>
      </c>
      <c r="G87" s="24"/>
      <c r="H87" s="35"/>
    </row>
    <row r="88" spans="1:8" ht="12.75" customHeight="1">
      <c r="A88" s="22">
        <v>43678</v>
      </c>
      <c r="B88" s="22"/>
      <c r="C88" s="26">
        <f>ROUND(101.54009,5)</f>
        <v>101.54009</v>
      </c>
      <c r="D88" s="26">
        <f>F88</f>
        <v>108.14419</v>
      </c>
      <c r="E88" s="26">
        <f>F88</f>
        <v>108.14419</v>
      </c>
      <c r="F88" s="26">
        <f>ROUND(108.14419,5)</f>
        <v>108.14419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ROUND(9.1,5)</f>
        <v>9.1</v>
      </c>
      <c r="D90" s="26">
        <f>F90</f>
        <v>9.14227</v>
      </c>
      <c r="E90" s="26">
        <f>F90</f>
        <v>9.14227</v>
      </c>
      <c r="F90" s="26">
        <f>ROUND(9.14227,5)</f>
        <v>9.14227</v>
      </c>
      <c r="G90" s="24"/>
      <c r="H90" s="35"/>
    </row>
    <row r="91" spans="1:8" ht="12.75" customHeight="1">
      <c r="A91" s="22">
        <v>43405</v>
      </c>
      <c r="B91" s="22"/>
      <c r="C91" s="26">
        <f>ROUND(9.1,5)</f>
        <v>9.1</v>
      </c>
      <c r="D91" s="26">
        <f>F91</f>
        <v>9.20527</v>
      </c>
      <c r="E91" s="26">
        <f>F91</f>
        <v>9.20527</v>
      </c>
      <c r="F91" s="26">
        <f>ROUND(9.20527,5)</f>
        <v>9.20527</v>
      </c>
      <c r="G91" s="24"/>
      <c r="H91" s="35"/>
    </row>
    <row r="92" spans="1:8" ht="12.75" customHeight="1">
      <c r="A92" s="22">
        <v>43503</v>
      </c>
      <c r="B92" s="22"/>
      <c r="C92" s="26">
        <f>ROUND(9.1,5)</f>
        <v>9.1</v>
      </c>
      <c r="D92" s="26">
        <f>F92</f>
        <v>9.27661</v>
      </c>
      <c r="E92" s="26">
        <f>F92</f>
        <v>9.27661</v>
      </c>
      <c r="F92" s="26">
        <f>ROUND(9.27661,5)</f>
        <v>9.27661</v>
      </c>
      <c r="G92" s="24"/>
      <c r="H92" s="35"/>
    </row>
    <row r="93" spans="1:8" ht="12.75" customHeight="1">
      <c r="A93" s="22">
        <v>43587</v>
      </c>
      <c r="B93" s="22"/>
      <c r="C93" s="26">
        <f>ROUND(9.1,5)</f>
        <v>9.1</v>
      </c>
      <c r="D93" s="26">
        <f>F93</f>
        <v>9.33854</v>
      </c>
      <c r="E93" s="26">
        <f>F93</f>
        <v>9.33854</v>
      </c>
      <c r="F93" s="26">
        <f>ROUND(9.33854,5)</f>
        <v>9.33854</v>
      </c>
      <c r="G93" s="24"/>
      <c r="H93" s="35"/>
    </row>
    <row r="94" spans="1:8" ht="12.75" customHeight="1">
      <c r="A94" s="22">
        <v>43678</v>
      </c>
      <c r="B94" s="22"/>
      <c r="C94" s="26">
        <f>ROUND(9.1,5)</f>
        <v>9.1</v>
      </c>
      <c r="D94" s="26">
        <f>F94</f>
        <v>9.4126</v>
      </c>
      <c r="E94" s="26">
        <f>F94</f>
        <v>9.4126</v>
      </c>
      <c r="F94" s="26">
        <f>ROUND(9.4126,5)</f>
        <v>9.4126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ROUND(9.27,5)</f>
        <v>9.27</v>
      </c>
      <c r="D96" s="26">
        <f>F96</f>
        <v>9.31026</v>
      </c>
      <c r="E96" s="26">
        <f>F96</f>
        <v>9.31026</v>
      </c>
      <c r="F96" s="26">
        <f>ROUND(9.31026,5)</f>
        <v>9.31026</v>
      </c>
      <c r="G96" s="24"/>
      <c r="H96" s="35"/>
    </row>
    <row r="97" spans="1:8" ht="12.75" customHeight="1">
      <c r="A97" s="22">
        <v>43405</v>
      </c>
      <c r="B97" s="22"/>
      <c r="C97" s="26">
        <f>ROUND(9.27,5)</f>
        <v>9.27</v>
      </c>
      <c r="D97" s="26">
        <f>F97</f>
        <v>9.37645</v>
      </c>
      <c r="E97" s="26">
        <f>F97</f>
        <v>9.37645</v>
      </c>
      <c r="F97" s="26">
        <f>ROUND(9.37645,5)</f>
        <v>9.37645</v>
      </c>
      <c r="G97" s="24"/>
      <c r="H97" s="35"/>
    </row>
    <row r="98" spans="1:8" ht="12.75" customHeight="1">
      <c r="A98" s="22">
        <v>43503</v>
      </c>
      <c r="B98" s="22"/>
      <c r="C98" s="26">
        <f>ROUND(9.27,5)</f>
        <v>9.27</v>
      </c>
      <c r="D98" s="26">
        <f>F98</f>
        <v>9.4501</v>
      </c>
      <c r="E98" s="26">
        <f>F98</f>
        <v>9.4501</v>
      </c>
      <c r="F98" s="26">
        <f>ROUND(9.4501,5)</f>
        <v>9.4501</v>
      </c>
      <c r="G98" s="24"/>
      <c r="H98" s="35"/>
    </row>
    <row r="99" spans="1:8" ht="12.75" customHeight="1">
      <c r="A99" s="22">
        <v>43587</v>
      </c>
      <c r="B99" s="22"/>
      <c r="C99" s="26">
        <f>ROUND(9.27,5)</f>
        <v>9.27</v>
      </c>
      <c r="D99" s="26">
        <f>F99</f>
        <v>9.51022</v>
      </c>
      <c r="E99" s="26">
        <f>F99</f>
        <v>9.51022</v>
      </c>
      <c r="F99" s="26">
        <f>ROUND(9.51022,5)</f>
        <v>9.51022</v>
      </c>
      <c r="G99" s="24"/>
      <c r="H99" s="35"/>
    </row>
    <row r="100" spans="1:8" ht="12.75" customHeight="1">
      <c r="A100" s="22">
        <v>43678</v>
      </c>
      <c r="B100" s="22"/>
      <c r="C100" s="26">
        <f>ROUND(9.27,5)</f>
        <v>9.27</v>
      </c>
      <c r="D100" s="26">
        <f>F100</f>
        <v>9.57938</v>
      </c>
      <c r="E100" s="26">
        <f>F100</f>
        <v>9.57938</v>
      </c>
      <c r="F100" s="26">
        <f>ROUND(9.57938,5)</f>
        <v>9.57938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ROUND(105.34814,5)</f>
        <v>105.34814</v>
      </c>
      <c r="D102" s="26">
        <f>F102</f>
        <v>106.53406</v>
      </c>
      <c r="E102" s="26">
        <f>F102</f>
        <v>106.53406</v>
      </c>
      <c r="F102" s="26">
        <f>ROUND(106.53406,5)</f>
        <v>106.53406</v>
      </c>
      <c r="G102" s="24"/>
      <c r="H102" s="35"/>
    </row>
    <row r="103" spans="1:8" ht="12.75" customHeight="1">
      <c r="A103" s="22">
        <v>43405</v>
      </c>
      <c r="B103" s="22"/>
      <c r="C103" s="26">
        <f>ROUND(105.34814,5)</f>
        <v>105.34814</v>
      </c>
      <c r="D103" s="26">
        <f>F103</f>
        <v>107.33831</v>
      </c>
      <c r="E103" s="26">
        <f>F103</f>
        <v>107.33831</v>
      </c>
      <c r="F103" s="26">
        <f>ROUND(107.33831,5)</f>
        <v>107.33831</v>
      </c>
      <c r="G103" s="24"/>
      <c r="H103" s="35"/>
    </row>
    <row r="104" spans="1:8" ht="12.75" customHeight="1">
      <c r="A104" s="22">
        <v>43503</v>
      </c>
      <c r="B104" s="22"/>
      <c r="C104" s="26">
        <f>ROUND(105.34814,5)</f>
        <v>105.34814</v>
      </c>
      <c r="D104" s="26">
        <f>F104</f>
        <v>109.44377</v>
      </c>
      <c r="E104" s="26">
        <f>F104</f>
        <v>109.44377</v>
      </c>
      <c r="F104" s="26">
        <f>ROUND(109.44377,5)</f>
        <v>109.44377</v>
      </c>
      <c r="G104" s="24"/>
      <c r="H104" s="35"/>
    </row>
    <row r="105" spans="1:8" ht="12.75" customHeight="1">
      <c r="A105" s="22">
        <v>43587</v>
      </c>
      <c r="B105" s="22"/>
      <c r="C105" s="26">
        <f>ROUND(105.34814,5)</f>
        <v>105.34814</v>
      </c>
      <c r="D105" s="26">
        <f>F105</f>
        <v>110.17239</v>
      </c>
      <c r="E105" s="26">
        <f>F105</f>
        <v>110.17239</v>
      </c>
      <c r="F105" s="26">
        <f>ROUND(110.17239,5)</f>
        <v>110.17239</v>
      </c>
      <c r="G105" s="24"/>
      <c r="H105" s="35"/>
    </row>
    <row r="106" spans="1:8" ht="12.75" customHeight="1">
      <c r="A106" s="22">
        <v>43678</v>
      </c>
      <c r="B106" s="22"/>
      <c r="C106" s="26">
        <f>ROUND(105.34814,5)</f>
        <v>105.34814</v>
      </c>
      <c r="D106" s="26">
        <f>F106</f>
        <v>112.13301</v>
      </c>
      <c r="E106" s="26">
        <f>F106</f>
        <v>112.13301</v>
      </c>
      <c r="F106" s="26">
        <f>ROUND(112.13301,5)</f>
        <v>112.13301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ROUND(9.465,5)</f>
        <v>9.465</v>
      </c>
      <c r="D108" s="26">
        <f>F108</f>
        <v>9.50613</v>
      </c>
      <c r="E108" s="26">
        <f>F108</f>
        <v>9.50613</v>
      </c>
      <c r="F108" s="26">
        <f>ROUND(9.50613,5)</f>
        <v>9.50613</v>
      </c>
      <c r="G108" s="24"/>
      <c r="H108" s="35"/>
    </row>
    <row r="109" spans="1:8" ht="12.75" customHeight="1">
      <c r="A109" s="22">
        <v>43405</v>
      </c>
      <c r="B109" s="22"/>
      <c r="C109" s="26">
        <f>ROUND(9.465,5)</f>
        <v>9.465</v>
      </c>
      <c r="D109" s="26">
        <f>F109</f>
        <v>9.56744</v>
      </c>
      <c r="E109" s="26">
        <f>F109</f>
        <v>9.56744</v>
      </c>
      <c r="F109" s="26">
        <f>ROUND(9.56744,5)</f>
        <v>9.56744</v>
      </c>
      <c r="G109" s="24"/>
      <c r="H109" s="35"/>
    </row>
    <row r="110" spans="1:8" ht="12.75" customHeight="1">
      <c r="A110" s="22">
        <v>43503</v>
      </c>
      <c r="B110" s="22"/>
      <c r="C110" s="26">
        <f>ROUND(9.465,5)</f>
        <v>9.465</v>
      </c>
      <c r="D110" s="26">
        <f>F110</f>
        <v>9.63622</v>
      </c>
      <c r="E110" s="26">
        <f>F110</f>
        <v>9.63622</v>
      </c>
      <c r="F110" s="26">
        <f>ROUND(9.63622,5)</f>
        <v>9.63622</v>
      </c>
      <c r="G110" s="24"/>
      <c r="H110" s="35"/>
    </row>
    <row r="111" spans="1:8" ht="12.75" customHeight="1">
      <c r="A111" s="22">
        <v>43587</v>
      </c>
      <c r="B111" s="22"/>
      <c r="C111" s="26">
        <f>ROUND(9.465,5)</f>
        <v>9.465</v>
      </c>
      <c r="D111" s="26">
        <f>F111</f>
        <v>9.69538</v>
      </c>
      <c r="E111" s="26">
        <f>F111</f>
        <v>9.69538</v>
      </c>
      <c r="F111" s="26">
        <f>ROUND(9.69538,5)</f>
        <v>9.69538</v>
      </c>
      <c r="G111" s="24"/>
      <c r="H111" s="35"/>
    </row>
    <row r="112" spans="1:8" ht="12.75" customHeight="1">
      <c r="A112" s="22">
        <v>43678</v>
      </c>
      <c r="B112" s="22"/>
      <c r="C112" s="26">
        <f>ROUND(9.465,5)</f>
        <v>9.465</v>
      </c>
      <c r="D112" s="26">
        <f>F112</f>
        <v>9.76492</v>
      </c>
      <c r="E112" s="26">
        <f>F112</f>
        <v>9.76492</v>
      </c>
      <c r="F112" s="26">
        <f>ROUND(9.76492,5)</f>
        <v>9.76492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ROUND(2.75,5)</f>
        <v>2.75</v>
      </c>
      <c r="D114" s="26">
        <f>F114</f>
        <v>127.15196</v>
      </c>
      <c r="E114" s="26">
        <f>F114</f>
        <v>127.15196</v>
      </c>
      <c r="F114" s="26">
        <f>ROUND(127.15196,5)</f>
        <v>127.15196</v>
      </c>
      <c r="G114" s="24"/>
      <c r="H114" s="35"/>
    </row>
    <row r="115" spans="1:8" ht="12.75" customHeight="1">
      <c r="A115" s="22">
        <v>43405</v>
      </c>
      <c r="B115" s="22"/>
      <c r="C115" s="26">
        <f>ROUND(2.75,5)</f>
        <v>2.75</v>
      </c>
      <c r="D115" s="26">
        <f>F115</f>
        <v>129.44974</v>
      </c>
      <c r="E115" s="26">
        <f>F115</f>
        <v>129.44974</v>
      </c>
      <c r="F115" s="26">
        <f>ROUND(129.44974,5)</f>
        <v>129.44974</v>
      </c>
      <c r="G115" s="24"/>
      <c r="H115" s="35"/>
    </row>
    <row r="116" spans="1:8" ht="12.75" customHeight="1">
      <c r="A116" s="22">
        <v>43503</v>
      </c>
      <c r="B116" s="22"/>
      <c r="C116" s="26">
        <f>ROUND(2.75,5)</f>
        <v>2.75</v>
      </c>
      <c r="D116" s="26">
        <f>F116</f>
        <v>130.39871</v>
      </c>
      <c r="E116" s="26">
        <f>F116</f>
        <v>130.39871</v>
      </c>
      <c r="F116" s="26">
        <f>ROUND(130.39871,5)</f>
        <v>130.39871</v>
      </c>
      <c r="G116" s="24"/>
      <c r="H116" s="35"/>
    </row>
    <row r="117" spans="1:8" ht="12.75" customHeight="1">
      <c r="A117" s="22">
        <v>43587</v>
      </c>
      <c r="B117" s="22"/>
      <c r="C117" s="26">
        <f>ROUND(2.75,5)</f>
        <v>2.75</v>
      </c>
      <c r="D117" s="26">
        <f>F117</f>
        <v>132.6292</v>
      </c>
      <c r="E117" s="26">
        <f>F117</f>
        <v>132.6292</v>
      </c>
      <c r="F117" s="26">
        <f>ROUND(132.6292,5)</f>
        <v>132.6292</v>
      </c>
      <c r="G117" s="24"/>
      <c r="H117" s="35"/>
    </row>
    <row r="118" spans="1:8" ht="12.75" customHeight="1">
      <c r="A118" s="22">
        <v>43678</v>
      </c>
      <c r="B118" s="22"/>
      <c r="C118" s="26">
        <f>ROUND(2.75,5)</f>
        <v>2.75</v>
      </c>
      <c r="D118" s="26">
        <f>F118</f>
        <v>134.9895</v>
      </c>
      <c r="E118" s="26">
        <f>F118</f>
        <v>134.9895</v>
      </c>
      <c r="F118" s="26">
        <f>ROUND(134.9895,5)</f>
        <v>134.9895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ROUND(9.56,5)</f>
        <v>9.56</v>
      </c>
      <c r="D120" s="26">
        <f>F120</f>
        <v>9.60139</v>
      </c>
      <c r="E120" s="26">
        <f>F120</f>
        <v>9.60139</v>
      </c>
      <c r="F120" s="26">
        <f>ROUND(9.60139,5)</f>
        <v>9.60139</v>
      </c>
      <c r="G120" s="24"/>
      <c r="H120" s="35"/>
    </row>
    <row r="121" spans="1:8" ht="12.75" customHeight="1">
      <c r="A121" s="22">
        <v>43405</v>
      </c>
      <c r="B121" s="22"/>
      <c r="C121" s="26">
        <f>ROUND(9.56,5)</f>
        <v>9.56</v>
      </c>
      <c r="D121" s="26">
        <f>F121</f>
        <v>9.66311</v>
      </c>
      <c r="E121" s="26">
        <f>F121</f>
        <v>9.66311</v>
      </c>
      <c r="F121" s="26">
        <f>ROUND(9.66311,5)</f>
        <v>9.66311</v>
      </c>
      <c r="G121" s="24"/>
      <c r="H121" s="35"/>
    </row>
    <row r="122" spans="1:8" ht="12.75" customHeight="1">
      <c r="A122" s="22">
        <v>43503</v>
      </c>
      <c r="B122" s="22"/>
      <c r="C122" s="26">
        <f>ROUND(9.56,5)</f>
        <v>9.56</v>
      </c>
      <c r="D122" s="26">
        <f>F122</f>
        <v>9.73229</v>
      </c>
      <c r="E122" s="26">
        <f>F122</f>
        <v>9.73229</v>
      </c>
      <c r="F122" s="26">
        <f>ROUND(9.73229,5)</f>
        <v>9.73229</v>
      </c>
      <c r="G122" s="24"/>
      <c r="H122" s="35"/>
    </row>
    <row r="123" spans="1:8" ht="12.75" customHeight="1">
      <c r="A123" s="22">
        <v>43587</v>
      </c>
      <c r="B123" s="22"/>
      <c r="C123" s="26">
        <f>ROUND(9.56,5)</f>
        <v>9.56</v>
      </c>
      <c r="D123" s="26">
        <f>F123</f>
        <v>9.79173</v>
      </c>
      <c r="E123" s="26">
        <f>F123</f>
        <v>9.79173</v>
      </c>
      <c r="F123" s="26">
        <f>ROUND(9.79173,5)</f>
        <v>9.79173</v>
      </c>
      <c r="G123" s="24"/>
      <c r="H123" s="35"/>
    </row>
    <row r="124" spans="1:8" ht="12.75" customHeight="1">
      <c r="A124" s="22">
        <v>43678</v>
      </c>
      <c r="B124" s="22"/>
      <c r="C124" s="26">
        <f>ROUND(9.56,5)</f>
        <v>9.56</v>
      </c>
      <c r="D124" s="26">
        <f>F124</f>
        <v>9.86142</v>
      </c>
      <c r="E124" s="26">
        <f>F124</f>
        <v>9.86142</v>
      </c>
      <c r="F124" s="26">
        <f>ROUND(9.86142,5)</f>
        <v>9.86142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ROUND(9.6,5)</f>
        <v>9.6</v>
      </c>
      <c r="D126" s="26">
        <f>F126</f>
        <v>9.64013</v>
      </c>
      <c r="E126" s="26">
        <f>F126</f>
        <v>9.64013</v>
      </c>
      <c r="F126" s="26">
        <f>ROUND(9.64013,5)</f>
        <v>9.64013</v>
      </c>
      <c r="G126" s="24"/>
      <c r="H126" s="35"/>
    </row>
    <row r="127" spans="1:8" ht="12.75" customHeight="1">
      <c r="A127" s="22">
        <v>43405</v>
      </c>
      <c r="B127" s="22"/>
      <c r="C127" s="26">
        <f>ROUND(9.6,5)</f>
        <v>9.6</v>
      </c>
      <c r="D127" s="26">
        <f>F127</f>
        <v>9.69994</v>
      </c>
      <c r="E127" s="26">
        <f>F127</f>
        <v>9.69994</v>
      </c>
      <c r="F127" s="26">
        <f>ROUND(9.69994,5)</f>
        <v>9.69994</v>
      </c>
      <c r="G127" s="24"/>
      <c r="H127" s="35"/>
    </row>
    <row r="128" spans="1:8" ht="12.75" customHeight="1">
      <c r="A128" s="22">
        <v>43503</v>
      </c>
      <c r="B128" s="22"/>
      <c r="C128" s="26">
        <f>ROUND(9.6,5)</f>
        <v>9.6</v>
      </c>
      <c r="D128" s="26">
        <f>F128</f>
        <v>9.76686</v>
      </c>
      <c r="E128" s="26">
        <f>F128</f>
        <v>9.76686</v>
      </c>
      <c r="F128" s="26">
        <f>ROUND(9.76686,5)</f>
        <v>9.76686</v>
      </c>
      <c r="G128" s="24"/>
      <c r="H128" s="35"/>
    </row>
    <row r="129" spans="1:8" ht="12.75" customHeight="1">
      <c r="A129" s="22">
        <v>43587</v>
      </c>
      <c r="B129" s="22"/>
      <c r="C129" s="26">
        <f>ROUND(9.6,5)</f>
        <v>9.6</v>
      </c>
      <c r="D129" s="26">
        <f>F129</f>
        <v>9.82424</v>
      </c>
      <c r="E129" s="26">
        <f>F129</f>
        <v>9.82424</v>
      </c>
      <c r="F129" s="26">
        <f>ROUND(9.82424,5)</f>
        <v>9.82424</v>
      </c>
      <c r="G129" s="24"/>
      <c r="H129" s="35"/>
    </row>
    <row r="130" spans="1:8" ht="12.75" customHeight="1">
      <c r="A130" s="22">
        <v>43678</v>
      </c>
      <c r="B130" s="22"/>
      <c r="C130" s="26">
        <f>ROUND(9.6,5)</f>
        <v>9.6</v>
      </c>
      <c r="D130" s="26">
        <f>F130</f>
        <v>9.89136</v>
      </c>
      <c r="E130" s="26">
        <f>F130</f>
        <v>9.89136</v>
      </c>
      <c r="F130" s="26">
        <f>ROUND(9.89136,5)</f>
        <v>9.89136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ROUND(119.70728,5)</f>
        <v>119.70728</v>
      </c>
      <c r="D132" s="26">
        <f>F132</f>
        <v>121.05484</v>
      </c>
      <c r="E132" s="26">
        <f>F132</f>
        <v>121.05484</v>
      </c>
      <c r="F132" s="26">
        <f>ROUND(121.05484,5)</f>
        <v>121.05484</v>
      </c>
      <c r="G132" s="24"/>
      <c r="H132" s="35"/>
    </row>
    <row r="133" spans="1:8" ht="12.75" customHeight="1">
      <c r="A133" s="22">
        <v>43405</v>
      </c>
      <c r="B133" s="22"/>
      <c r="C133" s="26">
        <f>ROUND(119.70728,5)</f>
        <v>119.70728</v>
      </c>
      <c r="D133" s="26">
        <f>F133</f>
        <v>121.59329</v>
      </c>
      <c r="E133" s="26">
        <f>F133</f>
        <v>121.59329</v>
      </c>
      <c r="F133" s="26">
        <f>ROUND(121.59329,5)</f>
        <v>121.59329</v>
      </c>
      <c r="G133" s="24"/>
      <c r="H133" s="35"/>
    </row>
    <row r="134" spans="1:8" ht="12.75" customHeight="1">
      <c r="A134" s="22">
        <v>43503</v>
      </c>
      <c r="B134" s="22"/>
      <c r="C134" s="26">
        <f>ROUND(119.70728,5)</f>
        <v>119.70728</v>
      </c>
      <c r="D134" s="26">
        <f>F134</f>
        <v>123.97828</v>
      </c>
      <c r="E134" s="26">
        <f>F134</f>
        <v>123.97828</v>
      </c>
      <c r="F134" s="26">
        <f>ROUND(123.97828,5)</f>
        <v>123.97828</v>
      </c>
      <c r="G134" s="24"/>
      <c r="H134" s="35"/>
    </row>
    <row r="135" spans="1:8" ht="12.75" customHeight="1">
      <c r="A135" s="22">
        <v>43587</v>
      </c>
      <c r="B135" s="22"/>
      <c r="C135" s="26">
        <f>ROUND(119.70728,5)</f>
        <v>119.70728</v>
      </c>
      <c r="D135" s="26">
        <f>F135</f>
        <v>124.41657</v>
      </c>
      <c r="E135" s="26">
        <f>F135</f>
        <v>124.41657</v>
      </c>
      <c r="F135" s="26">
        <f>ROUND(124.41657,5)</f>
        <v>124.41657</v>
      </c>
      <c r="G135" s="24"/>
      <c r="H135" s="35"/>
    </row>
    <row r="136" spans="1:8" ht="12.75" customHeight="1">
      <c r="A136" s="22">
        <v>43678</v>
      </c>
      <c r="B136" s="22"/>
      <c r="C136" s="26">
        <f>ROUND(119.70728,5)</f>
        <v>119.70728</v>
      </c>
      <c r="D136" s="26">
        <f>F136</f>
        <v>126.63001</v>
      </c>
      <c r="E136" s="26">
        <f>F136</f>
        <v>126.63001</v>
      </c>
      <c r="F136" s="26">
        <f>ROUND(126.63001,5)</f>
        <v>126.63001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ROUND(2.9,5)</f>
        <v>2.9</v>
      </c>
      <c r="D138" s="26">
        <f>F138</f>
        <v>126.12422</v>
      </c>
      <c r="E138" s="26">
        <f>F138</f>
        <v>126.12422</v>
      </c>
      <c r="F138" s="26">
        <f>ROUND(126.12422,5)</f>
        <v>126.12422</v>
      </c>
      <c r="G138" s="24"/>
      <c r="H138" s="35"/>
    </row>
    <row r="139" spans="1:8" ht="12.75" customHeight="1">
      <c r="A139" s="22">
        <v>43405</v>
      </c>
      <c r="B139" s="22"/>
      <c r="C139" s="26">
        <f>ROUND(2.9,5)</f>
        <v>2.9</v>
      </c>
      <c r="D139" s="26">
        <f>F139</f>
        <v>128.40363</v>
      </c>
      <c r="E139" s="26">
        <f>F139</f>
        <v>128.40363</v>
      </c>
      <c r="F139" s="26">
        <f>ROUND(128.40363,5)</f>
        <v>128.40363</v>
      </c>
      <c r="G139" s="24"/>
      <c r="H139" s="35"/>
    </row>
    <row r="140" spans="1:8" ht="12.75" customHeight="1">
      <c r="A140" s="22">
        <v>43503</v>
      </c>
      <c r="B140" s="22"/>
      <c r="C140" s="26">
        <f>ROUND(2.9,5)</f>
        <v>2.9</v>
      </c>
      <c r="D140" s="26">
        <f>F140</f>
        <v>129.15092</v>
      </c>
      <c r="E140" s="26">
        <f>F140</f>
        <v>129.15092</v>
      </c>
      <c r="F140" s="26">
        <f>ROUND(129.15092,5)</f>
        <v>129.15092</v>
      </c>
      <c r="G140" s="24"/>
      <c r="H140" s="35"/>
    </row>
    <row r="141" spans="1:8" ht="12.75" customHeight="1">
      <c r="A141" s="22">
        <v>43587</v>
      </c>
      <c r="B141" s="22"/>
      <c r="C141" s="26">
        <f>ROUND(2.9,5)</f>
        <v>2.9</v>
      </c>
      <c r="D141" s="26">
        <f>F141</f>
        <v>131.35992</v>
      </c>
      <c r="E141" s="26">
        <f>F141</f>
        <v>131.35992</v>
      </c>
      <c r="F141" s="26">
        <f>ROUND(131.35992,5)</f>
        <v>131.35992</v>
      </c>
      <c r="G141" s="24"/>
      <c r="H141" s="35"/>
    </row>
    <row r="142" spans="1:8" ht="12.75" customHeight="1">
      <c r="A142" s="22">
        <v>43678</v>
      </c>
      <c r="B142" s="22"/>
      <c r="C142" s="26">
        <f>ROUND(2.9,5)</f>
        <v>2.9</v>
      </c>
      <c r="D142" s="26">
        <f>F142</f>
        <v>133.69779</v>
      </c>
      <c r="E142" s="26">
        <f>F142</f>
        <v>133.69779</v>
      </c>
      <c r="F142" s="26">
        <f>ROUND(133.69779,5)</f>
        <v>133.69779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ROUND(3.41,5)</f>
        <v>3.41</v>
      </c>
      <c r="D144" s="26">
        <f>F144</f>
        <v>130.64319</v>
      </c>
      <c r="E144" s="26">
        <f>F144</f>
        <v>130.64319</v>
      </c>
      <c r="F144" s="26">
        <f>ROUND(130.64319,5)</f>
        <v>130.64319</v>
      </c>
      <c r="G144" s="24"/>
      <c r="H144" s="35"/>
    </row>
    <row r="145" spans="1:8" ht="12.75" customHeight="1">
      <c r="A145" s="22">
        <v>43405</v>
      </c>
      <c r="B145" s="22"/>
      <c r="C145" s="26">
        <f>ROUND(3.41,5)</f>
        <v>3.41</v>
      </c>
      <c r="D145" s="26">
        <f>F145</f>
        <v>131.19365</v>
      </c>
      <c r="E145" s="26">
        <f>F145</f>
        <v>131.19365</v>
      </c>
      <c r="F145" s="26">
        <f>ROUND(131.19365,5)</f>
        <v>131.19365</v>
      </c>
      <c r="G145" s="24"/>
      <c r="H145" s="35"/>
    </row>
    <row r="146" spans="1:8" ht="12.75" customHeight="1">
      <c r="A146" s="22">
        <v>43503</v>
      </c>
      <c r="B146" s="22"/>
      <c r="C146" s="26">
        <f>ROUND(3.41,5)</f>
        <v>3.41</v>
      </c>
      <c r="D146" s="26">
        <f>F146</f>
        <v>133.76688</v>
      </c>
      <c r="E146" s="26">
        <f>F146</f>
        <v>133.76688</v>
      </c>
      <c r="F146" s="26">
        <f>ROUND(133.76688,5)</f>
        <v>133.76688</v>
      </c>
      <c r="G146" s="24"/>
      <c r="H146" s="35"/>
    </row>
    <row r="147" spans="1:8" ht="12.75" customHeight="1">
      <c r="A147" s="22">
        <v>43587</v>
      </c>
      <c r="B147" s="22"/>
      <c r="C147" s="26">
        <f>ROUND(3.41,5)</f>
        <v>3.41</v>
      </c>
      <c r="D147" s="26">
        <f>F147</f>
        <v>136.05499</v>
      </c>
      <c r="E147" s="26">
        <f>F147</f>
        <v>136.05499</v>
      </c>
      <c r="F147" s="26">
        <f>ROUND(136.05499,5)</f>
        <v>136.05499</v>
      </c>
      <c r="G147" s="24"/>
      <c r="H147" s="35"/>
    </row>
    <row r="148" spans="1:8" ht="12.75" customHeight="1">
      <c r="A148" s="22">
        <v>43678</v>
      </c>
      <c r="B148" s="22"/>
      <c r="C148" s="26">
        <f>ROUND(3.41,5)</f>
        <v>3.41</v>
      </c>
      <c r="D148" s="26">
        <f>F148</f>
        <v>138.47682</v>
      </c>
      <c r="E148" s="26">
        <f>F148</f>
        <v>138.47682</v>
      </c>
      <c r="F148" s="26">
        <f>ROUND(138.47682,5)</f>
        <v>138.47682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ROUND(10.73,5)</f>
        <v>10.73</v>
      </c>
      <c r="D150" s="26">
        <f>F150</f>
        <v>10.79707</v>
      </c>
      <c r="E150" s="26">
        <f>F150</f>
        <v>10.79707</v>
      </c>
      <c r="F150" s="26">
        <f>ROUND(10.79707,5)</f>
        <v>10.79707</v>
      </c>
      <c r="G150" s="24"/>
      <c r="H150" s="35"/>
    </row>
    <row r="151" spans="1:8" ht="12.75" customHeight="1">
      <c r="A151" s="22">
        <v>43405</v>
      </c>
      <c r="B151" s="22"/>
      <c r="C151" s="26">
        <f>ROUND(10.73,5)</f>
        <v>10.73</v>
      </c>
      <c r="D151" s="26">
        <f>F151</f>
        <v>10.90912</v>
      </c>
      <c r="E151" s="26">
        <f>F151</f>
        <v>10.90912</v>
      </c>
      <c r="F151" s="26">
        <f>ROUND(10.90912,5)</f>
        <v>10.90912</v>
      </c>
      <c r="G151" s="24"/>
      <c r="H151" s="35"/>
    </row>
    <row r="152" spans="1:8" ht="12.75" customHeight="1">
      <c r="A152" s="22">
        <v>43503</v>
      </c>
      <c r="B152" s="22"/>
      <c r="C152" s="26">
        <f>ROUND(10.73,5)</f>
        <v>10.73</v>
      </c>
      <c r="D152" s="26">
        <f>F152</f>
        <v>11.03674</v>
      </c>
      <c r="E152" s="26">
        <f>F152</f>
        <v>11.03674</v>
      </c>
      <c r="F152" s="26">
        <f>ROUND(11.03674,5)</f>
        <v>11.03674</v>
      </c>
      <c r="G152" s="24"/>
      <c r="H152" s="35"/>
    </row>
    <row r="153" spans="1:8" ht="12.75" customHeight="1">
      <c r="A153" s="22">
        <v>43587</v>
      </c>
      <c r="B153" s="22"/>
      <c r="C153" s="26">
        <f>ROUND(10.73,5)</f>
        <v>10.73</v>
      </c>
      <c r="D153" s="26">
        <f>F153</f>
        <v>11.14156</v>
      </c>
      <c r="E153" s="26">
        <f>F153</f>
        <v>11.14156</v>
      </c>
      <c r="F153" s="26">
        <f>ROUND(11.14156,5)</f>
        <v>11.14156</v>
      </c>
      <c r="G153" s="24"/>
      <c r="H153" s="35"/>
    </row>
    <row r="154" spans="1:8" ht="12.75" customHeight="1">
      <c r="A154" s="22">
        <v>43678</v>
      </c>
      <c r="B154" s="22"/>
      <c r="C154" s="26">
        <f>ROUND(10.73,5)</f>
        <v>10.73</v>
      </c>
      <c r="D154" s="26">
        <f>F154</f>
        <v>11.26057</v>
      </c>
      <c r="E154" s="26">
        <f>F154</f>
        <v>11.26057</v>
      </c>
      <c r="F154" s="26">
        <f>ROUND(11.26057,5)</f>
        <v>11.26057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ROUND(10.94,5)</f>
        <v>10.94</v>
      </c>
      <c r="D156" s="26">
        <f>F156</f>
        <v>11.00546</v>
      </c>
      <c r="E156" s="26">
        <f>F156</f>
        <v>11.00546</v>
      </c>
      <c r="F156" s="26">
        <f>ROUND(11.00546,5)</f>
        <v>11.00546</v>
      </c>
      <c r="G156" s="24"/>
      <c r="H156" s="35"/>
    </row>
    <row r="157" spans="1:8" ht="12.75" customHeight="1">
      <c r="A157" s="22">
        <v>43405</v>
      </c>
      <c r="B157" s="22"/>
      <c r="C157" s="26">
        <f>ROUND(10.94,5)</f>
        <v>10.94</v>
      </c>
      <c r="D157" s="26">
        <f>F157</f>
        <v>11.11398</v>
      </c>
      <c r="E157" s="26">
        <f>F157</f>
        <v>11.11398</v>
      </c>
      <c r="F157" s="26">
        <f>ROUND(11.11398,5)</f>
        <v>11.11398</v>
      </c>
      <c r="G157" s="24"/>
      <c r="H157" s="35"/>
    </row>
    <row r="158" spans="1:8" ht="12.75" customHeight="1">
      <c r="A158" s="22">
        <v>43503</v>
      </c>
      <c r="B158" s="22"/>
      <c r="C158" s="26">
        <f>ROUND(10.94,5)</f>
        <v>10.94</v>
      </c>
      <c r="D158" s="26">
        <f>F158</f>
        <v>11.23335</v>
      </c>
      <c r="E158" s="26">
        <f>F158</f>
        <v>11.23335</v>
      </c>
      <c r="F158" s="26">
        <f>ROUND(11.23335,5)</f>
        <v>11.23335</v>
      </c>
      <c r="G158" s="24"/>
      <c r="H158" s="35"/>
    </row>
    <row r="159" spans="1:8" ht="12.75" customHeight="1">
      <c r="A159" s="22">
        <v>43587</v>
      </c>
      <c r="B159" s="22"/>
      <c r="C159" s="26">
        <f>ROUND(10.94,5)</f>
        <v>10.94</v>
      </c>
      <c r="D159" s="26">
        <f>F159</f>
        <v>11.33649</v>
      </c>
      <c r="E159" s="26">
        <f>F159</f>
        <v>11.33649</v>
      </c>
      <c r="F159" s="26">
        <f>ROUND(11.33649,5)</f>
        <v>11.33649</v>
      </c>
      <c r="G159" s="24"/>
      <c r="H159" s="35"/>
    </row>
    <row r="160" spans="1:8" ht="12.75" customHeight="1">
      <c r="A160" s="22">
        <v>43678</v>
      </c>
      <c r="B160" s="22"/>
      <c r="C160" s="26">
        <f>ROUND(10.94,5)</f>
        <v>10.94</v>
      </c>
      <c r="D160" s="26">
        <f>F160</f>
        <v>11.45068</v>
      </c>
      <c r="E160" s="26">
        <f>F160</f>
        <v>11.45068</v>
      </c>
      <c r="F160" s="26">
        <f>ROUND(11.45068,5)</f>
        <v>11.45068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ROUND(8.025,5)</f>
        <v>8.025</v>
      </c>
      <c r="D162" s="26">
        <f>F162</f>
        <v>8.05608</v>
      </c>
      <c r="E162" s="26">
        <f>F162</f>
        <v>8.05608</v>
      </c>
      <c r="F162" s="26">
        <f>ROUND(8.05608,5)</f>
        <v>8.05608</v>
      </c>
      <c r="G162" s="24"/>
      <c r="H162" s="35"/>
    </row>
    <row r="163" spans="1:8" ht="12.75" customHeight="1">
      <c r="A163" s="22">
        <v>43405</v>
      </c>
      <c r="B163" s="22"/>
      <c r="C163" s="26">
        <f>ROUND(8.025,5)</f>
        <v>8.025</v>
      </c>
      <c r="D163" s="26">
        <f>F163</f>
        <v>8.11427</v>
      </c>
      <c r="E163" s="26">
        <f>F163</f>
        <v>8.11427</v>
      </c>
      <c r="F163" s="26">
        <f>ROUND(8.11427,5)</f>
        <v>8.11427</v>
      </c>
      <c r="G163" s="24"/>
      <c r="H163" s="35"/>
    </row>
    <row r="164" spans="1:8" ht="12.75" customHeight="1">
      <c r="A164" s="22">
        <v>43503</v>
      </c>
      <c r="B164" s="22"/>
      <c r="C164" s="26">
        <f>ROUND(8.025,5)</f>
        <v>8.025</v>
      </c>
      <c r="D164" s="26">
        <f>F164</f>
        <v>8.18473</v>
      </c>
      <c r="E164" s="26">
        <f>F164</f>
        <v>8.18473</v>
      </c>
      <c r="F164" s="26">
        <f>ROUND(8.18473,5)</f>
        <v>8.18473</v>
      </c>
      <c r="G164" s="24"/>
      <c r="H164" s="35"/>
    </row>
    <row r="165" spans="1:8" ht="12.75" customHeight="1">
      <c r="A165" s="22">
        <v>43587</v>
      </c>
      <c r="B165" s="22"/>
      <c r="C165" s="26">
        <f>ROUND(8.025,5)</f>
        <v>8.025</v>
      </c>
      <c r="D165" s="26">
        <f>F165</f>
        <v>8.23237</v>
      </c>
      <c r="E165" s="26">
        <f>F165</f>
        <v>8.23237</v>
      </c>
      <c r="F165" s="26">
        <f>ROUND(8.23237,5)</f>
        <v>8.23237</v>
      </c>
      <c r="G165" s="24"/>
      <c r="H165" s="35"/>
    </row>
    <row r="166" spans="1:8" ht="12.75" customHeight="1">
      <c r="A166" s="22">
        <v>43678</v>
      </c>
      <c r="B166" s="22"/>
      <c r="C166" s="26">
        <f>ROUND(8.025,5)</f>
        <v>8.025</v>
      </c>
      <c r="D166" s="26">
        <f>F166</f>
        <v>8.29519</v>
      </c>
      <c r="E166" s="26">
        <f>F166</f>
        <v>8.29519</v>
      </c>
      <c r="F166" s="26">
        <f>ROUND(8.29519,5)</f>
        <v>8.29519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ROUND(9.395,5)</f>
        <v>9.395</v>
      </c>
      <c r="D168" s="26">
        <f>F168</f>
        <v>9.43421</v>
      </c>
      <c r="E168" s="26">
        <f>F168</f>
        <v>9.43421</v>
      </c>
      <c r="F168" s="26">
        <f>ROUND(9.43421,5)</f>
        <v>9.43421</v>
      </c>
      <c r="G168" s="24"/>
      <c r="H168" s="35"/>
    </row>
    <row r="169" spans="1:8" ht="12.75" customHeight="1">
      <c r="A169" s="22">
        <v>43405</v>
      </c>
      <c r="B169" s="22"/>
      <c r="C169" s="26">
        <f>ROUND(9.395,5)</f>
        <v>9.395</v>
      </c>
      <c r="D169" s="26">
        <f>F169</f>
        <v>9.50027</v>
      </c>
      <c r="E169" s="26">
        <f>F169</f>
        <v>9.50027</v>
      </c>
      <c r="F169" s="26">
        <f>ROUND(9.50027,5)</f>
        <v>9.50027</v>
      </c>
      <c r="G169" s="24"/>
      <c r="H169" s="35"/>
    </row>
    <row r="170" spans="1:8" ht="12.75" customHeight="1">
      <c r="A170" s="22">
        <v>43503</v>
      </c>
      <c r="B170" s="22"/>
      <c r="C170" s="26">
        <f>ROUND(9.395,5)</f>
        <v>9.395</v>
      </c>
      <c r="D170" s="26">
        <f>F170</f>
        <v>9.57496</v>
      </c>
      <c r="E170" s="26">
        <f>F170</f>
        <v>9.57496</v>
      </c>
      <c r="F170" s="26">
        <f>ROUND(9.57496,5)</f>
        <v>9.57496</v>
      </c>
      <c r="G170" s="24"/>
      <c r="H170" s="35"/>
    </row>
    <row r="171" spans="1:8" ht="12.75" customHeight="1">
      <c r="A171" s="22">
        <v>43587</v>
      </c>
      <c r="B171" s="22"/>
      <c r="C171" s="26">
        <f>ROUND(9.395,5)</f>
        <v>9.395</v>
      </c>
      <c r="D171" s="26">
        <f>F171</f>
        <v>9.63216</v>
      </c>
      <c r="E171" s="26">
        <f>F171</f>
        <v>9.63216</v>
      </c>
      <c r="F171" s="26">
        <f>ROUND(9.63216,5)</f>
        <v>9.63216</v>
      </c>
      <c r="G171" s="24"/>
      <c r="H171" s="35"/>
    </row>
    <row r="172" spans="1:8" ht="12.75" customHeight="1">
      <c r="A172" s="22">
        <v>43678</v>
      </c>
      <c r="B172" s="22"/>
      <c r="C172" s="26">
        <f>ROUND(9.395,5)</f>
        <v>9.395</v>
      </c>
      <c r="D172" s="26">
        <f>F172</f>
        <v>9.69859</v>
      </c>
      <c r="E172" s="26">
        <f>F172</f>
        <v>9.69859</v>
      </c>
      <c r="F172" s="26">
        <f>ROUND(9.69859,5)</f>
        <v>9.69859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ROUND(8.66,5)</f>
        <v>8.66</v>
      </c>
      <c r="D174" s="26">
        <f>F174</f>
        <v>8.69865</v>
      </c>
      <c r="E174" s="26">
        <f>F174</f>
        <v>8.69865</v>
      </c>
      <c r="F174" s="26">
        <f>ROUND(8.69865,5)</f>
        <v>8.69865</v>
      </c>
      <c r="G174" s="24"/>
      <c r="H174" s="35"/>
    </row>
    <row r="175" spans="1:8" ht="12.75" customHeight="1">
      <c r="A175" s="22">
        <v>43405</v>
      </c>
      <c r="B175" s="22"/>
      <c r="C175" s="26">
        <f>ROUND(8.66,5)</f>
        <v>8.66</v>
      </c>
      <c r="D175" s="26">
        <f>F175</f>
        <v>8.76301</v>
      </c>
      <c r="E175" s="26">
        <f>F175</f>
        <v>8.76301</v>
      </c>
      <c r="F175" s="26">
        <f>ROUND(8.76301,5)</f>
        <v>8.76301</v>
      </c>
      <c r="G175" s="24"/>
      <c r="H175" s="35"/>
    </row>
    <row r="176" spans="1:8" ht="12.75" customHeight="1">
      <c r="A176" s="22">
        <v>43503</v>
      </c>
      <c r="B176" s="22"/>
      <c r="C176" s="26">
        <f>ROUND(8.66,5)</f>
        <v>8.66</v>
      </c>
      <c r="D176" s="26">
        <f>F176</f>
        <v>8.83607</v>
      </c>
      <c r="E176" s="26">
        <f>F176</f>
        <v>8.83607</v>
      </c>
      <c r="F176" s="26">
        <f>ROUND(8.83607,5)</f>
        <v>8.83607</v>
      </c>
      <c r="G176" s="24"/>
      <c r="H176" s="35"/>
    </row>
    <row r="177" spans="1:8" ht="12.75" customHeight="1">
      <c r="A177" s="22">
        <v>43587</v>
      </c>
      <c r="B177" s="22"/>
      <c r="C177" s="26">
        <f>ROUND(8.66,5)</f>
        <v>8.66</v>
      </c>
      <c r="D177" s="26">
        <f>F177</f>
        <v>8.89654</v>
      </c>
      <c r="E177" s="26">
        <f>F177</f>
        <v>8.89654</v>
      </c>
      <c r="F177" s="26">
        <f>ROUND(8.89654,5)</f>
        <v>8.89654</v>
      </c>
      <c r="G177" s="24"/>
      <c r="H177" s="35"/>
    </row>
    <row r="178" spans="1:8" ht="12.75" customHeight="1">
      <c r="A178" s="22">
        <v>43678</v>
      </c>
      <c r="B178" s="22"/>
      <c r="C178" s="26">
        <f>ROUND(8.66,5)</f>
        <v>8.66</v>
      </c>
      <c r="D178" s="26">
        <f>F178</f>
        <v>8.96899</v>
      </c>
      <c r="E178" s="26">
        <f>F178</f>
        <v>8.96899</v>
      </c>
      <c r="F178" s="26">
        <f>ROUND(8.96899,5)</f>
        <v>8.96899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303.63257</v>
      </c>
      <c r="E180" s="26">
        <f>F180</f>
        <v>303.63257</v>
      </c>
      <c r="F180" s="26">
        <f>ROUND(303.63257,5)</f>
        <v>303.63257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309.11997</v>
      </c>
      <c r="E181" s="26">
        <f>F181</f>
        <v>309.11997</v>
      </c>
      <c r="F181" s="26">
        <f>ROUND(309.11997,5)</f>
        <v>309.11997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307.82677</v>
      </c>
      <c r="E182" s="26">
        <f>F182</f>
        <v>307.82677</v>
      </c>
      <c r="F182" s="26">
        <f>ROUND(307.82677,5)</f>
        <v>307.82677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313.09199</v>
      </c>
      <c r="E183" s="26">
        <f>F183</f>
        <v>313.09199</v>
      </c>
      <c r="F183" s="26">
        <f>ROUND(313.09199,5)</f>
        <v>313.09199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318.66316</v>
      </c>
      <c r="E184" s="26">
        <f>F184</f>
        <v>318.66316</v>
      </c>
      <c r="F184" s="26">
        <f>ROUND(318.66316,5)</f>
        <v>318.66316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ROUND(2.68,5)</f>
        <v>2.68</v>
      </c>
      <c r="D186" s="26">
        <f>F186</f>
        <v>241.78923</v>
      </c>
      <c r="E186" s="26">
        <f>F186</f>
        <v>241.78923</v>
      </c>
      <c r="F186" s="26">
        <f>ROUND(241.78923,5)</f>
        <v>241.78923</v>
      </c>
      <c r="G186" s="24"/>
      <c r="H186" s="35"/>
    </row>
    <row r="187" spans="1:8" ht="12.75" customHeight="1">
      <c r="A187" s="22">
        <v>43405</v>
      </c>
      <c r="B187" s="22"/>
      <c r="C187" s="26">
        <f>ROUND(2.68,5)</f>
        <v>2.68</v>
      </c>
      <c r="D187" s="26">
        <f>F187</f>
        <v>246.1592</v>
      </c>
      <c r="E187" s="26">
        <f>F187</f>
        <v>246.1592</v>
      </c>
      <c r="F187" s="26">
        <f>ROUND(246.1592,5)</f>
        <v>246.1592</v>
      </c>
      <c r="G187" s="24"/>
      <c r="H187" s="35"/>
    </row>
    <row r="188" spans="1:8" ht="12.75" customHeight="1">
      <c r="A188" s="22">
        <v>43503</v>
      </c>
      <c r="B188" s="22"/>
      <c r="C188" s="26">
        <f>ROUND(2.68,5)</f>
        <v>2.68</v>
      </c>
      <c r="D188" s="26">
        <f>F188</f>
        <v>247.08013</v>
      </c>
      <c r="E188" s="26">
        <f>F188</f>
        <v>247.08013</v>
      </c>
      <c r="F188" s="26">
        <f>ROUND(247.08013,5)</f>
        <v>247.08013</v>
      </c>
      <c r="G188" s="24"/>
      <c r="H188" s="35"/>
    </row>
    <row r="189" spans="1:8" ht="12.75" customHeight="1">
      <c r="A189" s="22">
        <v>43587</v>
      </c>
      <c r="B189" s="22"/>
      <c r="C189" s="26">
        <f>ROUND(2.68,5)</f>
        <v>2.68</v>
      </c>
      <c r="D189" s="26">
        <f>F189</f>
        <v>251.30651</v>
      </c>
      <c r="E189" s="26">
        <f>F189</f>
        <v>251.30651</v>
      </c>
      <c r="F189" s="26">
        <f>ROUND(251.30651,5)</f>
        <v>251.30651</v>
      </c>
      <c r="G189" s="24"/>
      <c r="H189" s="35"/>
    </row>
    <row r="190" spans="1:8" ht="12.75" customHeight="1">
      <c r="A190" s="22">
        <v>43678</v>
      </c>
      <c r="B190" s="22"/>
      <c r="C190" s="26">
        <f>ROUND(2.68,5)</f>
        <v>2.68</v>
      </c>
      <c r="D190" s="26">
        <f>F190</f>
        <v>255.77927</v>
      </c>
      <c r="E190" s="26">
        <f>F190</f>
        <v>255.77927</v>
      </c>
      <c r="F190" s="26">
        <f>ROUND(255.77927,5)</f>
        <v>255.77927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ROUND(6.72,5)</f>
        <v>6.72</v>
      </c>
      <c r="D194" s="26">
        <f>F194</f>
        <v>6.46731</v>
      </c>
      <c r="E194" s="26">
        <f>F194</f>
        <v>6.46731</v>
      </c>
      <c r="F194" s="26">
        <f>ROUND(6.46731,5)</f>
        <v>6.46731</v>
      </c>
      <c r="G194" s="24"/>
      <c r="H194" s="35"/>
    </row>
    <row r="195" spans="1:8" ht="12.75" customHeight="1">
      <c r="A195" s="22">
        <v>43405</v>
      </c>
      <c r="B195" s="22"/>
      <c r="C195" s="26">
        <f>ROUND(6.72,5)</f>
        <v>6.72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ROUND(6.72,5)</f>
        <v>6.72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ROUND(6.72,5)</f>
        <v>6.72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ROUND(6.72,5)</f>
        <v>6.72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ROUND(7.4,5)</f>
        <v>7.4</v>
      </c>
      <c r="D200" s="26">
        <f>F200</f>
        <v>7.42418</v>
      </c>
      <c r="E200" s="26">
        <f>F200</f>
        <v>7.42418</v>
      </c>
      <c r="F200" s="26">
        <f>ROUND(7.42418,5)</f>
        <v>7.42418</v>
      </c>
      <c r="G200" s="24"/>
      <c r="H200" s="35"/>
    </row>
    <row r="201" spans="1:8" ht="12.75" customHeight="1">
      <c r="A201" s="22">
        <v>43405</v>
      </c>
      <c r="B201" s="22"/>
      <c r="C201" s="26">
        <f>ROUND(7.4,5)</f>
        <v>7.4</v>
      </c>
      <c r="D201" s="26">
        <f>F201</f>
        <v>7.45182</v>
      </c>
      <c r="E201" s="26">
        <f>F201</f>
        <v>7.45182</v>
      </c>
      <c r="F201" s="26">
        <f>ROUND(7.45182,5)</f>
        <v>7.45182</v>
      </c>
      <c r="G201" s="24"/>
      <c r="H201" s="35"/>
    </row>
    <row r="202" spans="1:8" ht="12.75" customHeight="1">
      <c r="A202" s="22">
        <v>43503</v>
      </c>
      <c r="B202" s="22"/>
      <c r="C202" s="26">
        <f>ROUND(7.4,5)</f>
        <v>7.4</v>
      </c>
      <c r="D202" s="26">
        <f>F202</f>
        <v>7.49402</v>
      </c>
      <c r="E202" s="26">
        <f>F202</f>
        <v>7.49402</v>
      </c>
      <c r="F202" s="26">
        <f>ROUND(7.49402,5)</f>
        <v>7.49402</v>
      </c>
      <c r="G202" s="24"/>
      <c r="H202" s="35"/>
    </row>
    <row r="203" spans="1:8" ht="12.75" customHeight="1">
      <c r="A203" s="22">
        <v>43587</v>
      </c>
      <c r="B203" s="22"/>
      <c r="C203" s="26">
        <f>ROUND(7.4,5)</f>
        <v>7.4</v>
      </c>
      <c r="D203" s="26">
        <f>F203</f>
        <v>7.52651</v>
      </c>
      <c r="E203" s="26">
        <f>F203</f>
        <v>7.52651</v>
      </c>
      <c r="F203" s="26">
        <f>ROUND(7.52651,5)</f>
        <v>7.52651</v>
      </c>
      <c r="G203" s="24"/>
      <c r="H203" s="35"/>
    </row>
    <row r="204" spans="1:8" ht="12.75" customHeight="1">
      <c r="A204" s="22">
        <v>43678</v>
      </c>
      <c r="B204" s="22"/>
      <c r="C204" s="26">
        <f>ROUND(7.4,5)</f>
        <v>7.4</v>
      </c>
      <c r="D204" s="26">
        <f>F204</f>
        <v>7.5463</v>
      </c>
      <c r="E204" s="26">
        <f>F204</f>
        <v>7.5463</v>
      </c>
      <c r="F204" s="26">
        <f>ROUND(7.5463,5)</f>
        <v>7.5463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ROUND(7.67,5)</f>
        <v>7.67</v>
      </c>
      <c r="D206" s="26">
        <f>F206</f>
        <v>7.69886</v>
      </c>
      <c r="E206" s="26">
        <f>F206</f>
        <v>7.69886</v>
      </c>
      <c r="F206" s="26">
        <f>ROUND(7.69886,5)</f>
        <v>7.69886</v>
      </c>
      <c r="G206" s="24"/>
      <c r="H206" s="35"/>
    </row>
    <row r="207" spans="1:8" ht="12.75" customHeight="1">
      <c r="A207" s="22">
        <v>43405</v>
      </c>
      <c r="B207" s="22"/>
      <c r="C207" s="26">
        <f>ROUND(7.67,5)</f>
        <v>7.67</v>
      </c>
      <c r="D207" s="26">
        <f>F207</f>
        <v>7.75102</v>
      </c>
      <c r="E207" s="26">
        <f>F207</f>
        <v>7.75102</v>
      </c>
      <c r="F207" s="26">
        <f>ROUND(7.75102,5)</f>
        <v>7.75102</v>
      </c>
      <c r="G207" s="24"/>
      <c r="H207" s="35"/>
    </row>
    <row r="208" spans="1:8" ht="12.75" customHeight="1">
      <c r="A208" s="22">
        <v>43503</v>
      </c>
      <c r="B208" s="22"/>
      <c r="C208" s="26">
        <f>ROUND(7.67,5)</f>
        <v>7.67</v>
      </c>
      <c r="D208" s="26">
        <f>F208</f>
        <v>7.81746</v>
      </c>
      <c r="E208" s="26">
        <f>F208</f>
        <v>7.81746</v>
      </c>
      <c r="F208" s="26">
        <f>ROUND(7.81746,5)</f>
        <v>7.81746</v>
      </c>
      <c r="G208" s="24"/>
      <c r="H208" s="35"/>
    </row>
    <row r="209" spans="1:8" ht="12.75" customHeight="1">
      <c r="A209" s="22">
        <v>43587</v>
      </c>
      <c r="B209" s="22"/>
      <c r="C209" s="26">
        <f>ROUND(7.67,5)</f>
        <v>7.67</v>
      </c>
      <c r="D209" s="26">
        <f>F209</f>
        <v>7.86418</v>
      </c>
      <c r="E209" s="26">
        <f>F209</f>
        <v>7.86418</v>
      </c>
      <c r="F209" s="26">
        <f>ROUND(7.86418,5)</f>
        <v>7.86418</v>
      </c>
      <c r="G209" s="24"/>
      <c r="H209" s="35"/>
    </row>
    <row r="210" spans="1:8" ht="12.75" customHeight="1">
      <c r="A210" s="22">
        <v>43678</v>
      </c>
      <c r="B210" s="22"/>
      <c r="C210" s="26">
        <f>ROUND(7.67,5)</f>
        <v>7.67</v>
      </c>
      <c r="D210" s="26">
        <f>F210</f>
        <v>7.9369</v>
      </c>
      <c r="E210" s="26">
        <f>F210</f>
        <v>7.9369</v>
      </c>
      <c r="F210" s="26">
        <f>ROUND(7.9369,5)</f>
        <v>7.9369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ROUND(9.4,5)</f>
        <v>9.4</v>
      </c>
      <c r="D212" s="26">
        <f>F212</f>
        <v>9.43609</v>
      </c>
      <c r="E212" s="26">
        <f>F212</f>
        <v>9.43609</v>
      </c>
      <c r="F212" s="26">
        <f>ROUND(9.43609,5)</f>
        <v>9.43609</v>
      </c>
      <c r="G212" s="24"/>
      <c r="H212" s="35"/>
    </row>
    <row r="213" spans="1:8" ht="12.75" customHeight="1">
      <c r="A213" s="22">
        <v>43405</v>
      </c>
      <c r="B213" s="22"/>
      <c r="C213" s="26">
        <f>ROUND(9.4,5)</f>
        <v>9.4</v>
      </c>
      <c r="D213" s="26">
        <f>F213</f>
        <v>9.49506</v>
      </c>
      <c r="E213" s="26">
        <f>F213</f>
        <v>9.49506</v>
      </c>
      <c r="F213" s="26">
        <f>ROUND(9.49506,5)</f>
        <v>9.49506</v>
      </c>
      <c r="G213" s="24"/>
      <c r="H213" s="35"/>
    </row>
    <row r="214" spans="1:8" ht="12.75" customHeight="1">
      <c r="A214" s="22">
        <v>43503</v>
      </c>
      <c r="B214" s="22"/>
      <c r="C214" s="26">
        <f>ROUND(9.4,5)</f>
        <v>9.4</v>
      </c>
      <c r="D214" s="26">
        <f>F214</f>
        <v>9.56013</v>
      </c>
      <c r="E214" s="26">
        <f>F214</f>
        <v>9.56013</v>
      </c>
      <c r="F214" s="26">
        <f>ROUND(9.56013,5)</f>
        <v>9.56013</v>
      </c>
      <c r="G214" s="24"/>
      <c r="H214" s="35"/>
    </row>
    <row r="215" spans="1:8" ht="12.75" customHeight="1">
      <c r="A215" s="22">
        <v>43587</v>
      </c>
      <c r="B215" s="22"/>
      <c r="C215" s="26">
        <f>ROUND(9.4,5)</f>
        <v>9.4</v>
      </c>
      <c r="D215" s="26">
        <f>F215</f>
        <v>9.61302</v>
      </c>
      <c r="E215" s="26">
        <f>F215</f>
        <v>9.61302</v>
      </c>
      <c r="F215" s="26">
        <f>ROUND(9.61302,5)</f>
        <v>9.61302</v>
      </c>
      <c r="G215" s="24"/>
      <c r="H215" s="35"/>
    </row>
    <row r="216" spans="1:8" ht="12.75" customHeight="1">
      <c r="A216" s="22">
        <v>43678</v>
      </c>
      <c r="B216" s="22"/>
      <c r="C216" s="26">
        <f>ROUND(9.4,5)</f>
        <v>9.4</v>
      </c>
      <c r="D216" s="26">
        <f>F216</f>
        <v>9.67325</v>
      </c>
      <c r="E216" s="26">
        <f>F216</f>
        <v>9.67325</v>
      </c>
      <c r="F216" s="26">
        <f>ROUND(9.67325,5)</f>
        <v>9.67325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ROUND(2.63,5)</f>
        <v>2.63</v>
      </c>
      <c r="D218" s="26">
        <f>F218</f>
        <v>190.06368</v>
      </c>
      <c r="E218" s="26">
        <f>F218</f>
        <v>190.06368</v>
      </c>
      <c r="F218" s="26">
        <f>ROUND(190.06368,5)</f>
        <v>190.06368</v>
      </c>
      <c r="G218" s="24"/>
      <c r="H218" s="35"/>
    </row>
    <row r="219" spans="1:8" ht="12.75" customHeight="1">
      <c r="A219" s="22">
        <v>43405</v>
      </c>
      <c r="B219" s="22"/>
      <c r="C219" s="26">
        <f>ROUND(2.63,5)</f>
        <v>2.63</v>
      </c>
      <c r="D219" s="26">
        <f>F219</f>
        <v>190.99843</v>
      </c>
      <c r="E219" s="26">
        <f>F219</f>
        <v>190.99843</v>
      </c>
      <c r="F219" s="26">
        <f>ROUND(190.99843,5)</f>
        <v>190.99843</v>
      </c>
      <c r="G219" s="24"/>
      <c r="H219" s="35"/>
    </row>
    <row r="220" spans="1:8" ht="12.75" customHeight="1">
      <c r="A220" s="22">
        <v>43503</v>
      </c>
      <c r="B220" s="22"/>
      <c r="C220" s="26">
        <f>ROUND(2.63,5)</f>
        <v>2.63</v>
      </c>
      <c r="D220" s="26">
        <f>F220</f>
        <v>194.74471</v>
      </c>
      <c r="E220" s="26">
        <f>F220</f>
        <v>194.74471</v>
      </c>
      <c r="F220" s="26">
        <f>ROUND(194.74471,5)</f>
        <v>194.74471</v>
      </c>
      <c r="G220" s="24"/>
      <c r="H220" s="35"/>
    </row>
    <row r="221" spans="1:8" ht="12.75" customHeight="1">
      <c r="A221" s="22">
        <v>43587</v>
      </c>
      <c r="B221" s="22"/>
      <c r="C221" s="26">
        <f>ROUND(2.63,5)</f>
        <v>2.63</v>
      </c>
      <c r="D221" s="26">
        <f>F221</f>
        <v>195.52551</v>
      </c>
      <c r="E221" s="26">
        <f>F221</f>
        <v>195.52551</v>
      </c>
      <c r="F221" s="26">
        <f>ROUND(195.52551,5)</f>
        <v>195.52551</v>
      </c>
      <c r="G221" s="24"/>
      <c r="H221" s="35"/>
    </row>
    <row r="222" spans="1:8" ht="12.75" customHeight="1">
      <c r="A222" s="22">
        <v>43678</v>
      </c>
      <c r="B222" s="22"/>
      <c r="C222" s="26">
        <f>ROUND(2.63,5)</f>
        <v>2.63</v>
      </c>
      <c r="D222" s="26">
        <f>F222</f>
        <v>199.00412</v>
      </c>
      <c r="E222" s="26">
        <f>F222</f>
        <v>199.00412</v>
      </c>
      <c r="F222" s="26">
        <f>ROUND(199.00412,5)</f>
        <v>199.00412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ROUND(2.25,5)</f>
        <v>2.25</v>
      </c>
      <c r="D224" s="26">
        <f>F224</f>
        <v>154.99483</v>
      </c>
      <c r="E224" s="26">
        <f>F224</f>
        <v>154.99483</v>
      </c>
      <c r="F224" s="26">
        <f>ROUND(154.99483,5)</f>
        <v>154.99483</v>
      </c>
      <c r="G224" s="24"/>
      <c r="H224" s="35"/>
    </row>
    <row r="225" spans="1:8" ht="12.75" customHeight="1">
      <c r="A225" s="22">
        <v>43405</v>
      </c>
      <c r="B225" s="22"/>
      <c r="C225" s="26">
        <f>ROUND(2.25,5)</f>
        <v>2.25</v>
      </c>
      <c r="D225" s="26">
        <f>F225</f>
        <v>157.79587</v>
      </c>
      <c r="E225" s="26">
        <f>F225</f>
        <v>157.79587</v>
      </c>
      <c r="F225" s="26">
        <f>ROUND(157.79587,5)</f>
        <v>157.79587</v>
      </c>
      <c r="G225" s="24"/>
      <c r="H225" s="35"/>
    </row>
    <row r="226" spans="1:8" ht="12.75" customHeight="1">
      <c r="A226" s="22">
        <v>43503</v>
      </c>
      <c r="B226" s="22"/>
      <c r="C226" s="26">
        <f>ROUND(2.25,5)</f>
        <v>2.25</v>
      </c>
      <c r="D226" s="26">
        <f>F226</f>
        <v>158.73723</v>
      </c>
      <c r="E226" s="26">
        <f>F226</f>
        <v>158.73723</v>
      </c>
      <c r="F226" s="26">
        <f>ROUND(158.73723,5)</f>
        <v>158.73723</v>
      </c>
      <c r="G226" s="24"/>
      <c r="H226" s="35"/>
    </row>
    <row r="227" spans="1:8" ht="12.75" customHeight="1">
      <c r="A227" s="22">
        <v>43587</v>
      </c>
      <c r="B227" s="22"/>
      <c r="C227" s="26">
        <f>ROUND(2.25,5)</f>
        <v>2.25</v>
      </c>
      <c r="D227" s="26">
        <f>F227</f>
        <v>161.45236</v>
      </c>
      <c r="E227" s="26">
        <f>F227</f>
        <v>161.45236</v>
      </c>
      <c r="F227" s="26">
        <f>ROUND(161.45236,5)</f>
        <v>161.45236</v>
      </c>
      <c r="G227" s="24"/>
      <c r="H227" s="35"/>
    </row>
    <row r="228" spans="1:8" ht="12.75" customHeight="1">
      <c r="A228" s="22">
        <v>43678</v>
      </c>
      <c r="B228" s="22"/>
      <c r="C228" s="26">
        <f>ROUND(2.25,5)</f>
        <v>2.25</v>
      </c>
      <c r="D228" s="26">
        <f>F228</f>
        <v>164.32543</v>
      </c>
      <c r="E228" s="26">
        <f>F228</f>
        <v>164.32543</v>
      </c>
      <c r="F228" s="26">
        <f>ROUND(164.32543,5)</f>
        <v>164.32543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ROUND(9.18,5)</f>
        <v>9.18</v>
      </c>
      <c r="D230" s="26">
        <f>F230</f>
        <v>9.21792</v>
      </c>
      <c r="E230" s="26">
        <f>F230</f>
        <v>9.21792</v>
      </c>
      <c r="F230" s="26">
        <f>ROUND(9.21792,5)</f>
        <v>9.21792</v>
      </c>
      <c r="G230" s="24"/>
      <c r="H230" s="35"/>
    </row>
    <row r="231" spans="1:8" ht="12.75" customHeight="1">
      <c r="A231" s="22">
        <v>43405</v>
      </c>
      <c r="B231" s="22"/>
      <c r="C231" s="26">
        <f>ROUND(9.18,5)</f>
        <v>9.18</v>
      </c>
      <c r="D231" s="26">
        <f>F231</f>
        <v>9.28239</v>
      </c>
      <c r="E231" s="26">
        <f>F231</f>
        <v>9.28239</v>
      </c>
      <c r="F231" s="26">
        <f>ROUND(9.28239,5)</f>
        <v>9.28239</v>
      </c>
      <c r="G231" s="24"/>
      <c r="H231" s="35"/>
    </row>
    <row r="232" spans="1:8" ht="12.75" customHeight="1">
      <c r="A232" s="22">
        <v>43503</v>
      </c>
      <c r="B232" s="22"/>
      <c r="C232" s="26">
        <f>ROUND(9.18,5)</f>
        <v>9.18</v>
      </c>
      <c r="D232" s="26">
        <f>F232</f>
        <v>9.35561</v>
      </c>
      <c r="E232" s="26">
        <f>F232</f>
        <v>9.35561</v>
      </c>
      <c r="F232" s="26">
        <f>ROUND(9.35561,5)</f>
        <v>9.35561</v>
      </c>
      <c r="G232" s="24"/>
      <c r="H232" s="35"/>
    </row>
    <row r="233" spans="1:8" ht="12.75" customHeight="1">
      <c r="A233" s="22">
        <v>43587</v>
      </c>
      <c r="B233" s="22"/>
      <c r="C233" s="26">
        <f>ROUND(9.18,5)</f>
        <v>9.18</v>
      </c>
      <c r="D233" s="26">
        <f>F233</f>
        <v>9.41135</v>
      </c>
      <c r="E233" s="26">
        <f>F233</f>
        <v>9.41135</v>
      </c>
      <c r="F233" s="26">
        <f>ROUND(9.41135,5)</f>
        <v>9.41135</v>
      </c>
      <c r="G233" s="24"/>
      <c r="H233" s="35"/>
    </row>
    <row r="234" spans="1:8" ht="12.75" customHeight="1">
      <c r="A234" s="22">
        <v>43678</v>
      </c>
      <c r="B234" s="22"/>
      <c r="C234" s="26">
        <f>ROUND(9.18,5)</f>
        <v>9.18</v>
      </c>
      <c r="D234" s="26">
        <f>F234</f>
        <v>9.47658</v>
      </c>
      <c r="E234" s="26">
        <f>F234</f>
        <v>9.47658</v>
      </c>
      <c r="F234" s="26">
        <f>ROUND(9.47658,5)</f>
        <v>9.47658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ROUND(9.55,5)</f>
        <v>9.55</v>
      </c>
      <c r="D236" s="26">
        <f>F236</f>
        <v>9.58583</v>
      </c>
      <c r="E236" s="26">
        <f>F236</f>
        <v>9.58583</v>
      </c>
      <c r="F236" s="26">
        <f>ROUND(9.58583,5)</f>
        <v>9.58583</v>
      </c>
      <c r="G236" s="24"/>
      <c r="H236" s="35"/>
    </row>
    <row r="237" spans="1:8" ht="12.75" customHeight="1">
      <c r="A237" s="22">
        <v>43405</v>
      </c>
      <c r="B237" s="22"/>
      <c r="C237" s="26">
        <f>ROUND(9.55,5)</f>
        <v>9.55</v>
      </c>
      <c r="D237" s="26">
        <f>F237</f>
        <v>9.64579</v>
      </c>
      <c r="E237" s="26">
        <f>F237</f>
        <v>9.64579</v>
      </c>
      <c r="F237" s="26">
        <f>ROUND(9.64579,5)</f>
        <v>9.64579</v>
      </c>
      <c r="G237" s="24"/>
      <c r="H237" s="35"/>
    </row>
    <row r="238" spans="1:8" ht="12.75" customHeight="1">
      <c r="A238" s="22">
        <v>43503</v>
      </c>
      <c r="B238" s="22"/>
      <c r="C238" s="26">
        <f>ROUND(9.55,5)</f>
        <v>9.55</v>
      </c>
      <c r="D238" s="26">
        <f>F238</f>
        <v>9.71307</v>
      </c>
      <c r="E238" s="26">
        <f>F238</f>
        <v>9.71307</v>
      </c>
      <c r="F238" s="26">
        <f>ROUND(9.71307,5)</f>
        <v>9.71307</v>
      </c>
      <c r="G238" s="24"/>
      <c r="H238" s="35"/>
    </row>
    <row r="239" spans="1:8" ht="12.75" customHeight="1">
      <c r="A239" s="22">
        <v>43587</v>
      </c>
      <c r="B239" s="22"/>
      <c r="C239" s="26">
        <f>ROUND(9.55,5)</f>
        <v>9.55</v>
      </c>
      <c r="D239" s="26">
        <f>F239</f>
        <v>9.76458</v>
      </c>
      <c r="E239" s="26">
        <f>F239</f>
        <v>9.76458</v>
      </c>
      <c r="F239" s="26">
        <f>ROUND(9.76458,5)</f>
        <v>9.76458</v>
      </c>
      <c r="G239" s="24"/>
      <c r="H239" s="35"/>
    </row>
    <row r="240" spans="1:8" ht="12.75" customHeight="1">
      <c r="A240" s="22">
        <v>43678</v>
      </c>
      <c r="B240" s="22"/>
      <c r="C240" s="26">
        <f>ROUND(9.55,5)</f>
        <v>9.55</v>
      </c>
      <c r="D240" s="26">
        <f>F240</f>
        <v>9.82387</v>
      </c>
      <c r="E240" s="26">
        <f>F240</f>
        <v>9.82387</v>
      </c>
      <c r="F240" s="26">
        <f>ROUND(9.82387,5)</f>
        <v>9.82387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ROUND(9.59,5)</f>
        <v>9.59</v>
      </c>
      <c r="D242" s="26">
        <f>F242</f>
        <v>9.62647</v>
      </c>
      <c r="E242" s="26">
        <f>F242</f>
        <v>9.62647</v>
      </c>
      <c r="F242" s="26">
        <f>ROUND(9.62647,5)</f>
        <v>9.62647</v>
      </c>
      <c r="G242" s="24"/>
      <c r="H242" s="35"/>
    </row>
    <row r="243" spans="1:8" ht="12.75" customHeight="1">
      <c r="A243" s="22">
        <v>43405</v>
      </c>
      <c r="B243" s="22"/>
      <c r="C243" s="26">
        <f>ROUND(9.59,5)</f>
        <v>9.59</v>
      </c>
      <c r="D243" s="26">
        <f>F243</f>
        <v>9.68739</v>
      </c>
      <c r="E243" s="26">
        <f>F243</f>
        <v>9.68739</v>
      </c>
      <c r="F243" s="26">
        <f>ROUND(9.68739,5)</f>
        <v>9.68739</v>
      </c>
      <c r="G243" s="24"/>
      <c r="H243" s="35"/>
    </row>
    <row r="244" spans="1:8" ht="12.75" customHeight="1">
      <c r="A244" s="22">
        <v>43503</v>
      </c>
      <c r="B244" s="22"/>
      <c r="C244" s="26">
        <f>ROUND(9.59,5)</f>
        <v>9.59</v>
      </c>
      <c r="D244" s="26">
        <f>F244</f>
        <v>9.75579</v>
      </c>
      <c r="E244" s="26">
        <f>F244</f>
        <v>9.75579</v>
      </c>
      <c r="F244" s="26">
        <f>ROUND(9.75579,5)</f>
        <v>9.75579</v>
      </c>
      <c r="G244" s="24"/>
      <c r="H244" s="35"/>
    </row>
    <row r="245" spans="1:8" ht="12.75" customHeight="1">
      <c r="A245" s="22">
        <v>43587</v>
      </c>
      <c r="B245" s="22"/>
      <c r="C245" s="26">
        <f>ROUND(9.59,5)</f>
        <v>9.59</v>
      </c>
      <c r="D245" s="26">
        <f>F245</f>
        <v>9.80822</v>
      </c>
      <c r="E245" s="26">
        <f>F245</f>
        <v>9.80822</v>
      </c>
      <c r="F245" s="26">
        <f>ROUND(9.80822,5)</f>
        <v>9.80822</v>
      </c>
      <c r="G245" s="24"/>
      <c r="H245" s="35"/>
    </row>
    <row r="246" spans="1:8" ht="12.75" customHeight="1">
      <c r="A246" s="22">
        <v>43678</v>
      </c>
      <c r="B246" s="22"/>
      <c r="C246" s="26">
        <f>ROUND(9.59,5)</f>
        <v>9.59</v>
      </c>
      <c r="D246" s="26">
        <f>F246</f>
        <v>9.86855</v>
      </c>
      <c r="E246" s="26">
        <f>F246</f>
        <v>9.86855</v>
      </c>
      <c r="F246" s="26">
        <f>ROUND(9.86855,5)</f>
        <v>9.86855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ROUND(8.638189,4)</f>
        <v>8.6382</v>
      </c>
      <c r="D248" s="25">
        <f>F248</f>
        <v>318.6916</v>
      </c>
      <c r="E248" s="25">
        <f>F248</f>
        <v>318.6916</v>
      </c>
      <c r="F248" s="25">
        <f>ROUND(318.6916,4)</f>
        <v>318.6916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ROUND(8.4827,4)</f>
        <v>8.4827</v>
      </c>
      <c r="D250" s="25">
        <f>F250</f>
        <v>194.0471</v>
      </c>
      <c r="E250" s="25">
        <f>F250</f>
        <v>194.0471</v>
      </c>
      <c r="F250" s="25">
        <f>ROUND(194.0471,4)</f>
        <v>194.0471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ROUND(8.638189,4)</f>
        <v>8.6382</v>
      </c>
      <c r="D252" s="25">
        <f>F252</f>
        <v>48.7899</v>
      </c>
      <c r="E252" s="25">
        <f>F252</f>
        <v>48.7899</v>
      </c>
      <c r="F252" s="25">
        <f>ROUND(48.7899,4)</f>
        <v>48.7899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ROUND(14.97167015625,4)</f>
        <v>14.9717</v>
      </c>
      <c r="D254" s="25">
        <f>F254</f>
        <v>15.0908</v>
      </c>
      <c r="E254" s="25">
        <f>F254</f>
        <v>15.0908</v>
      </c>
      <c r="F254" s="25">
        <f>ROUND(15.0908,4)</f>
        <v>15.0908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43280</v>
      </c>
      <c r="B256" s="22"/>
      <c r="C256" s="28">
        <f>ROUND(0.115545422871253,6)</f>
        <v>0.115545</v>
      </c>
      <c r="D256" s="28">
        <f>F256</f>
        <v>0.116014</v>
      </c>
      <c r="E256" s="28">
        <f>F256</f>
        <v>0.116014</v>
      </c>
      <c r="F256" s="28">
        <f>ROUND(0.116014,6)</f>
        <v>0.116014</v>
      </c>
      <c r="G256" s="24"/>
      <c r="H256" s="35"/>
    </row>
    <row r="257" spans="1:8" ht="12.75" customHeight="1">
      <c r="A257" s="22" t="s">
        <v>66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43259</v>
      </c>
      <c r="B258" s="22"/>
      <c r="C258" s="25">
        <f>ROUND(12.7125,4)</f>
        <v>12.7125</v>
      </c>
      <c r="D258" s="25">
        <f>F258</f>
        <v>12.7142</v>
      </c>
      <c r="E258" s="25">
        <f>F258</f>
        <v>12.7142</v>
      </c>
      <c r="F258" s="25">
        <f>ROUND(12.7142,4)</f>
        <v>12.7142</v>
      </c>
      <c r="G258" s="24"/>
      <c r="H258" s="35"/>
    </row>
    <row r="259" spans="1:8" ht="12.75" customHeight="1">
      <c r="A259" s="22">
        <v>43271</v>
      </c>
      <c r="B259" s="22"/>
      <c r="C259" s="25">
        <f>ROUND(12.7125,4)</f>
        <v>12.7125</v>
      </c>
      <c r="D259" s="25">
        <f>F259</f>
        <v>12.7327</v>
      </c>
      <c r="E259" s="25">
        <f>F259</f>
        <v>12.7327</v>
      </c>
      <c r="F259" s="25">
        <f>ROUND(12.7327,4)</f>
        <v>12.7327</v>
      </c>
      <c r="G259" s="24"/>
      <c r="H259" s="35"/>
    </row>
    <row r="260" spans="1:8" ht="12.75" customHeight="1">
      <c r="A260" s="22">
        <v>43280</v>
      </c>
      <c r="B260" s="22"/>
      <c r="C260" s="25">
        <f>ROUND(12.7125,4)</f>
        <v>12.7125</v>
      </c>
      <c r="D260" s="25">
        <f>F260</f>
        <v>12.7477</v>
      </c>
      <c r="E260" s="25">
        <f>F260</f>
        <v>12.7477</v>
      </c>
      <c r="F260" s="25">
        <f>ROUND(12.7477,4)</f>
        <v>12.7477</v>
      </c>
      <c r="G260" s="24"/>
      <c r="H260" s="35"/>
    </row>
    <row r="261" spans="1:8" ht="12.75" customHeight="1">
      <c r="A261" s="22">
        <v>43283</v>
      </c>
      <c r="B261" s="22"/>
      <c r="C261" s="25">
        <f>ROUND(12.7125,4)</f>
        <v>12.7125</v>
      </c>
      <c r="D261" s="25">
        <f>F261</f>
        <v>12.7527</v>
      </c>
      <c r="E261" s="25">
        <f>F261</f>
        <v>12.7527</v>
      </c>
      <c r="F261" s="25">
        <f>ROUND(12.7527,4)</f>
        <v>12.7527</v>
      </c>
      <c r="G261" s="24"/>
      <c r="H261" s="35"/>
    </row>
    <row r="262" spans="1:8" ht="12.75" customHeight="1">
      <c r="A262" s="22">
        <v>43284</v>
      </c>
      <c r="B262" s="22"/>
      <c r="C262" s="25">
        <f>ROUND(12.7125,4)</f>
        <v>12.7125</v>
      </c>
      <c r="D262" s="25">
        <f>F262</f>
        <v>12.7544</v>
      </c>
      <c r="E262" s="25">
        <f>F262</f>
        <v>12.7544</v>
      </c>
      <c r="F262" s="25">
        <f>ROUND(12.7544,4)</f>
        <v>12.7544</v>
      </c>
      <c r="G262" s="24"/>
      <c r="H262" s="35"/>
    </row>
    <row r="263" spans="1:8" ht="12.75" customHeight="1">
      <c r="A263" s="22">
        <v>43286</v>
      </c>
      <c r="B263" s="22"/>
      <c r="C263" s="25">
        <f>ROUND(12.7125,4)</f>
        <v>12.7125</v>
      </c>
      <c r="D263" s="25">
        <f>F263</f>
        <v>12.7577</v>
      </c>
      <c r="E263" s="25">
        <f>F263</f>
        <v>12.7577</v>
      </c>
      <c r="F263" s="25">
        <f>ROUND(12.7577,4)</f>
        <v>12.7577</v>
      </c>
      <c r="G263" s="24"/>
      <c r="H263" s="35"/>
    </row>
    <row r="264" spans="1:8" ht="12.75" customHeight="1">
      <c r="A264" s="22">
        <v>43287</v>
      </c>
      <c r="B264" s="22"/>
      <c r="C264" s="25">
        <f>ROUND(12.7125,4)</f>
        <v>12.7125</v>
      </c>
      <c r="D264" s="25">
        <f>F264</f>
        <v>12.7594</v>
      </c>
      <c r="E264" s="25">
        <f>F264</f>
        <v>12.7594</v>
      </c>
      <c r="F264" s="25">
        <f>ROUND(12.7594,4)</f>
        <v>12.7594</v>
      </c>
      <c r="G264" s="24"/>
      <c r="H264" s="35"/>
    </row>
    <row r="265" spans="1:8" ht="12.75" customHeight="1">
      <c r="A265" s="22">
        <v>43301</v>
      </c>
      <c r="B265" s="22"/>
      <c r="C265" s="25">
        <f>ROUND(12.7125,4)</f>
        <v>12.7125</v>
      </c>
      <c r="D265" s="25">
        <f>F265</f>
        <v>12.7827</v>
      </c>
      <c r="E265" s="25">
        <f>F265</f>
        <v>12.7827</v>
      </c>
      <c r="F265" s="25">
        <f>ROUND(12.7827,4)</f>
        <v>12.7827</v>
      </c>
      <c r="G265" s="24"/>
      <c r="H265" s="35"/>
    </row>
    <row r="266" spans="1:8" ht="12.75" customHeight="1">
      <c r="A266" s="22">
        <v>43305</v>
      </c>
      <c r="B266" s="22"/>
      <c r="C266" s="25">
        <f>ROUND(12.7125,4)</f>
        <v>12.7125</v>
      </c>
      <c r="D266" s="25">
        <f>F266</f>
        <v>12.7893</v>
      </c>
      <c r="E266" s="25">
        <f>F266</f>
        <v>12.7893</v>
      </c>
      <c r="F266" s="25">
        <f>ROUND(12.7893,4)</f>
        <v>12.7893</v>
      </c>
      <c r="G266" s="24"/>
      <c r="H266" s="35"/>
    </row>
    <row r="267" spans="1:8" ht="12.75" customHeight="1">
      <c r="A267" s="22">
        <v>43306</v>
      </c>
      <c r="B267" s="22"/>
      <c r="C267" s="25">
        <f>ROUND(12.7125,4)</f>
        <v>12.7125</v>
      </c>
      <c r="D267" s="25">
        <f>F267</f>
        <v>12.791</v>
      </c>
      <c r="E267" s="25">
        <f>F267</f>
        <v>12.791</v>
      </c>
      <c r="F267" s="25">
        <f>ROUND(12.791,4)</f>
        <v>12.791</v>
      </c>
      <c r="G267" s="24"/>
      <c r="H267" s="35"/>
    </row>
    <row r="268" spans="1:8" ht="12.75" customHeight="1">
      <c r="A268" s="22">
        <v>43308</v>
      </c>
      <c r="B268" s="22"/>
      <c r="C268" s="25">
        <f>ROUND(12.7125,4)</f>
        <v>12.7125</v>
      </c>
      <c r="D268" s="25">
        <f>F268</f>
        <v>12.7943</v>
      </c>
      <c r="E268" s="25">
        <f>F268</f>
        <v>12.7943</v>
      </c>
      <c r="F268" s="25">
        <f>ROUND(12.7943,4)</f>
        <v>12.7943</v>
      </c>
      <c r="G268" s="24"/>
      <c r="H268" s="35"/>
    </row>
    <row r="269" spans="1:8" ht="12.75" customHeight="1">
      <c r="A269" s="22">
        <v>43312</v>
      </c>
      <c r="B269" s="22"/>
      <c r="C269" s="25">
        <f>ROUND(12.7125,4)</f>
        <v>12.7125</v>
      </c>
      <c r="D269" s="25">
        <f>F269</f>
        <v>12.801</v>
      </c>
      <c r="E269" s="25">
        <f>F269</f>
        <v>12.801</v>
      </c>
      <c r="F269" s="25">
        <f>ROUND(12.801,4)</f>
        <v>12.801</v>
      </c>
      <c r="G269" s="24"/>
      <c r="H269" s="35"/>
    </row>
    <row r="270" spans="1:8" ht="12.75" customHeight="1">
      <c r="A270" s="22">
        <v>43314</v>
      </c>
      <c r="B270" s="22"/>
      <c r="C270" s="25">
        <f>ROUND(12.7125,4)</f>
        <v>12.7125</v>
      </c>
      <c r="D270" s="25">
        <f>F270</f>
        <v>12.8043</v>
      </c>
      <c r="E270" s="25">
        <f>F270</f>
        <v>12.8043</v>
      </c>
      <c r="F270" s="25">
        <f>ROUND(12.8043,4)</f>
        <v>12.8043</v>
      </c>
      <c r="G270" s="24"/>
      <c r="H270" s="35"/>
    </row>
    <row r="271" spans="1:8" ht="12.75" customHeight="1">
      <c r="A271" s="22">
        <v>43319</v>
      </c>
      <c r="B271" s="22"/>
      <c r="C271" s="25">
        <f>ROUND(12.7125,4)</f>
        <v>12.7125</v>
      </c>
      <c r="D271" s="25">
        <f>F271</f>
        <v>12.8126</v>
      </c>
      <c r="E271" s="25">
        <f>F271</f>
        <v>12.8126</v>
      </c>
      <c r="F271" s="25">
        <f>ROUND(12.8126,4)</f>
        <v>12.8126</v>
      </c>
      <c r="G271" s="24"/>
      <c r="H271" s="35"/>
    </row>
    <row r="272" spans="1:8" ht="12.75" customHeight="1">
      <c r="A272" s="22">
        <v>43325</v>
      </c>
      <c r="B272" s="22"/>
      <c r="C272" s="25">
        <f>ROUND(12.7125,4)</f>
        <v>12.7125</v>
      </c>
      <c r="D272" s="25">
        <f>F272</f>
        <v>12.8225</v>
      </c>
      <c r="E272" s="25">
        <f>F272</f>
        <v>12.8225</v>
      </c>
      <c r="F272" s="25">
        <f>ROUND(12.8225,4)</f>
        <v>12.8225</v>
      </c>
      <c r="G272" s="24"/>
      <c r="H272" s="35"/>
    </row>
    <row r="273" spans="1:8" ht="12.75" customHeight="1">
      <c r="A273" s="22">
        <v>43343</v>
      </c>
      <c r="B273" s="22"/>
      <c r="C273" s="25">
        <f>ROUND(12.7125,4)</f>
        <v>12.7125</v>
      </c>
      <c r="D273" s="25">
        <f>F273</f>
        <v>12.8521</v>
      </c>
      <c r="E273" s="25">
        <f>F273</f>
        <v>12.8521</v>
      </c>
      <c r="F273" s="25">
        <f>ROUND(12.8521,4)</f>
        <v>12.8521</v>
      </c>
      <c r="G273" s="24"/>
      <c r="H273" s="35"/>
    </row>
    <row r="274" spans="1:8" ht="12.75" customHeight="1">
      <c r="A274" s="22">
        <v>43371</v>
      </c>
      <c r="B274" s="22"/>
      <c r="C274" s="25">
        <f>ROUND(12.7125,4)</f>
        <v>12.7125</v>
      </c>
      <c r="D274" s="25">
        <f>F274</f>
        <v>12.8978</v>
      </c>
      <c r="E274" s="25">
        <f>F274</f>
        <v>12.8978</v>
      </c>
      <c r="F274" s="25">
        <f>ROUND(12.8978,4)</f>
        <v>12.8978</v>
      </c>
      <c r="G274" s="24"/>
      <c r="H274" s="35"/>
    </row>
    <row r="275" spans="1:8" ht="12.75" customHeight="1">
      <c r="A275" s="22">
        <v>43375</v>
      </c>
      <c r="B275" s="22"/>
      <c r="C275" s="25">
        <f>ROUND(12.7125,4)</f>
        <v>12.7125</v>
      </c>
      <c r="D275" s="25">
        <f>F275</f>
        <v>12.9043</v>
      </c>
      <c r="E275" s="25">
        <f>F275</f>
        <v>12.9043</v>
      </c>
      <c r="F275" s="25">
        <f>ROUND(12.9043,4)</f>
        <v>12.9043</v>
      </c>
      <c r="G275" s="24"/>
      <c r="H275" s="35"/>
    </row>
    <row r="276" spans="1:8" ht="12.75" customHeight="1">
      <c r="A276" s="22">
        <v>43398</v>
      </c>
      <c r="B276" s="22"/>
      <c r="C276" s="25">
        <f>ROUND(12.7125,4)</f>
        <v>12.7125</v>
      </c>
      <c r="D276" s="25">
        <f>F276</f>
        <v>12.9417</v>
      </c>
      <c r="E276" s="25">
        <f>F276</f>
        <v>12.9417</v>
      </c>
      <c r="F276" s="25">
        <f>ROUND(12.9417,4)</f>
        <v>12.9417</v>
      </c>
      <c r="G276" s="24"/>
      <c r="H276" s="35"/>
    </row>
    <row r="277" spans="1:8" ht="12.75" customHeight="1">
      <c r="A277" s="22">
        <v>43402</v>
      </c>
      <c r="B277" s="22"/>
      <c r="C277" s="25">
        <f>ROUND(12.7125,4)</f>
        <v>12.7125</v>
      </c>
      <c r="D277" s="25">
        <f>F277</f>
        <v>12.9482</v>
      </c>
      <c r="E277" s="25">
        <f>F277</f>
        <v>12.9482</v>
      </c>
      <c r="F277" s="25">
        <f>ROUND(12.9482,4)</f>
        <v>12.9482</v>
      </c>
      <c r="G277" s="24"/>
      <c r="H277" s="35"/>
    </row>
    <row r="278" spans="1:8" ht="12.75" customHeight="1">
      <c r="A278" s="22">
        <v>43404</v>
      </c>
      <c r="B278" s="22"/>
      <c r="C278" s="25">
        <f>ROUND(12.7125,4)</f>
        <v>12.7125</v>
      </c>
      <c r="D278" s="25">
        <f>F278</f>
        <v>12.9515</v>
      </c>
      <c r="E278" s="25">
        <f>F278</f>
        <v>12.9515</v>
      </c>
      <c r="F278" s="25">
        <f>ROUND(12.9515,4)</f>
        <v>12.9515</v>
      </c>
      <c r="G278" s="24"/>
      <c r="H278" s="35"/>
    </row>
    <row r="279" spans="1:8" ht="12.75" customHeight="1">
      <c r="A279" s="22">
        <v>43405</v>
      </c>
      <c r="B279" s="22"/>
      <c r="C279" s="25">
        <f>ROUND(12.7125,4)</f>
        <v>12.7125</v>
      </c>
      <c r="D279" s="25">
        <f>F279</f>
        <v>12.9531</v>
      </c>
      <c r="E279" s="25">
        <f>F279</f>
        <v>12.9531</v>
      </c>
      <c r="F279" s="25">
        <f>ROUND(12.9531,4)</f>
        <v>12.9531</v>
      </c>
      <c r="G279" s="24"/>
      <c r="H279" s="35"/>
    </row>
    <row r="280" spans="1:8" ht="12.75" customHeight="1">
      <c r="A280" s="22">
        <v>43409</v>
      </c>
      <c r="B280" s="22"/>
      <c r="C280" s="25">
        <f>ROUND(12.7125,4)</f>
        <v>12.7125</v>
      </c>
      <c r="D280" s="25">
        <f>F280</f>
        <v>12.9596</v>
      </c>
      <c r="E280" s="25">
        <f>F280</f>
        <v>12.9596</v>
      </c>
      <c r="F280" s="25">
        <f>ROUND(12.9596,4)</f>
        <v>12.9596</v>
      </c>
      <c r="G280" s="24"/>
      <c r="H280" s="35"/>
    </row>
    <row r="281" spans="1:8" ht="12.75" customHeight="1">
      <c r="A281" s="22">
        <v>43417</v>
      </c>
      <c r="B281" s="22"/>
      <c r="C281" s="25">
        <f>ROUND(12.7125,4)</f>
        <v>12.7125</v>
      </c>
      <c r="D281" s="25">
        <f>F281</f>
        <v>12.9726</v>
      </c>
      <c r="E281" s="25">
        <f>F281</f>
        <v>12.9726</v>
      </c>
      <c r="F281" s="25">
        <f>ROUND(12.9726,4)</f>
        <v>12.9726</v>
      </c>
      <c r="G281" s="24"/>
      <c r="H281" s="35"/>
    </row>
    <row r="282" spans="1:8" ht="12.75" customHeight="1">
      <c r="A282" s="22">
        <v>43420</v>
      </c>
      <c r="B282" s="22"/>
      <c r="C282" s="25">
        <f>ROUND(12.7125,4)</f>
        <v>12.7125</v>
      </c>
      <c r="D282" s="25">
        <f>F282</f>
        <v>12.9775</v>
      </c>
      <c r="E282" s="25">
        <f>F282</f>
        <v>12.9775</v>
      </c>
      <c r="F282" s="25">
        <f>ROUND(12.9775,4)</f>
        <v>12.9775</v>
      </c>
      <c r="G282" s="24"/>
      <c r="H282" s="35"/>
    </row>
    <row r="283" spans="1:8" ht="12.75" customHeight="1">
      <c r="A283" s="22">
        <v>43434</v>
      </c>
      <c r="B283" s="22"/>
      <c r="C283" s="25">
        <f>ROUND(12.7125,4)</f>
        <v>12.7125</v>
      </c>
      <c r="D283" s="25">
        <f>F283</f>
        <v>13.0003</v>
      </c>
      <c r="E283" s="25">
        <f>F283</f>
        <v>13.0003</v>
      </c>
      <c r="F283" s="25">
        <f>ROUND(13.0003,4)</f>
        <v>13.0003</v>
      </c>
      <c r="G283" s="24"/>
      <c r="H283" s="35"/>
    </row>
    <row r="284" spans="1:8" ht="12.75" customHeight="1">
      <c r="A284" s="22">
        <v>43445</v>
      </c>
      <c r="B284" s="22"/>
      <c r="C284" s="25">
        <f>ROUND(12.7125,4)</f>
        <v>12.7125</v>
      </c>
      <c r="D284" s="25">
        <f>F284</f>
        <v>13.0182</v>
      </c>
      <c r="E284" s="25">
        <f>F284</f>
        <v>13.0182</v>
      </c>
      <c r="F284" s="25">
        <f>ROUND(13.0182,4)</f>
        <v>13.0182</v>
      </c>
      <c r="G284" s="24"/>
      <c r="H284" s="35"/>
    </row>
    <row r="285" spans="1:8" ht="12.75" customHeight="1">
      <c r="A285" s="22">
        <v>43465</v>
      </c>
      <c r="B285" s="22"/>
      <c r="C285" s="25">
        <f>ROUND(12.7125,4)</f>
        <v>12.7125</v>
      </c>
      <c r="D285" s="25">
        <f>F285</f>
        <v>13.0499</v>
      </c>
      <c r="E285" s="25">
        <f>F285</f>
        <v>13.0499</v>
      </c>
      <c r="F285" s="25">
        <f>ROUND(13.0499,4)</f>
        <v>13.0499</v>
      </c>
      <c r="G285" s="24"/>
      <c r="H285" s="35"/>
    </row>
    <row r="286" spans="1:8" ht="12.75" customHeight="1">
      <c r="A286" s="22">
        <v>43467</v>
      </c>
      <c r="B286" s="22"/>
      <c r="C286" s="25">
        <f>ROUND(12.7125,4)</f>
        <v>12.7125</v>
      </c>
      <c r="D286" s="25">
        <f>F286</f>
        <v>13.0531</v>
      </c>
      <c r="E286" s="25">
        <f>F286</f>
        <v>13.0531</v>
      </c>
      <c r="F286" s="25">
        <f>ROUND(13.0531,4)</f>
        <v>13.0531</v>
      </c>
      <c r="G286" s="24"/>
      <c r="H286" s="35"/>
    </row>
    <row r="287" spans="1:8" ht="12.75" customHeight="1">
      <c r="A287" s="22">
        <v>43495</v>
      </c>
      <c r="B287" s="22"/>
      <c r="C287" s="25">
        <f>ROUND(12.7125,4)</f>
        <v>12.7125</v>
      </c>
      <c r="D287" s="25">
        <f>F287</f>
        <v>13.0975</v>
      </c>
      <c r="E287" s="25">
        <f>F287</f>
        <v>13.0975</v>
      </c>
      <c r="F287" s="25">
        <f>ROUND(13.0975,4)</f>
        <v>13.0975</v>
      </c>
      <c r="G287" s="24"/>
      <c r="H287" s="35"/>
    </row>
    <row r="288" spans="1:8" ht="12.75" customHeight="1">
      <c r="A288" s="22">
        <v>43496</v>
      </c>
      <c r="B288" s="22"/>
      <c r="C288" s="25">
        <f>ROUND(12.7125,4)</f>
        <v>12.7125</v>
      </c>
      <c r="D288" s="25">
        <f>F288</f>
        <v>13.0991</v>
      </c>
      <c r="E288" s="25">
        <f>F288</f>
        <v>13.0991</v>
      </c>
      <c r="F288" s="25">
        <f>ROUND(13.0991,4)</f>
        <v>13.0991</v>
      </c>
      <c r="G288" s="24"/>
      <c r="H288" s="35"/>
    </row>
    <row r="289" spans="1:8" ht="12.75" customHeight="1">
      <c r="A289" s="22">
        <v>43509</v>
      </c>
      <c r="B289" s="22"/>
      <c r="C289" s="25">
        <f>ROUND(12.7125,4)</f>
        <v>12.7125</v>
      </c>
      <c r="D289" s="25">
        <f>F289</f>
        <v>13.1198</v>
      </c>
      <c r="E289" s="25">
        <f>F289</f>
        <v>13.1198</v>
      </c>
      <c r="F289" s="25">
        <f>ROUND(13.1198,4)</f>
        <v>13.1198</v>
      </c>
      <c r="G289" s="24"/>
      <c r="H289" s="35"/>
    </row>
    <row r="290" spans="1:8" ht="12.75" customHeight="1">
      <c r="A290" s="22">
        <v>43524</v>
      </c>
      <c r="B290" s="22"/>
      <c r="C290" s="25">
        <f>ROUND(12.7125,4)</f>
        <v>12.7125</v>
      </c>
      <c r="D290" s="25">
        <f>F290</f>
        <v>13.1436</v>
      </c>
      <c r="E290" s="25">
        <f>F290</f>
        <v>13.1436</v>
      </c>
      <c r="F290" s="25">
        <f>ROUND(13.1436,4)</f>
        <v>13.1436</v>
      </c>
      <c r="G290" s="24"/>
      <c r="H290" s="35"/>
    </row>
    <row r="291" spans="1:8" ht="12.75" customHeight="1">
      <c r="A291" s="22">
        <v>43551</v>
      </c>
      <c r="B291" s="22"/>
      <c r="C291" s="25">
        <f>ROUND(12.7125,4)</f>
        <v>12.7125</v>
      </c>
      <c r="D291" s="25">
        <f>F291</f>
        <v>13.1863</v>
      </c>
      <c r="E291" s="25">
        <f>F291</f>
        <v>13.1863</v>
      </c>
      <c r="F291" s="25">
        <f>ROUND(13.1863,4)</f>
        <v>13.1863</v>
      </c>
      <c r="G291" s="24"/>
      <c r="H291" s="35"/>
    </row>
    <row r="292" spans="1:8" ht="12.75" customHeight="1">
      <c r="A292" s="22">
        <v>43557</v>
      </c>
      <c r="B292" s="22"/>
      <c r="C292" s="25">
        <f>ROUND(12.7125,4)</f>
        <v>12.7125</v>
      </c>
      <c r="D292" s="25">
        <f>F292</f>
        <v>13.1957</v>
      </c>
      <c r="E292" s="25">
        <f>F292</f>
        <v>13.1957</v>
      </c>
      <c r="F292" s="25">
        <f>ROUND(13.1957,4)</f>
        <v>13.1957</v>
      </c>
      <c r="G292" s="24"/>
      <c r="H292" s="35"/>
    </row>
    <row r="293" spans="1:8" ht="12.75" customHeight="1">
      <c r="A293" s="22">
        <v>43585</v>
      </c>
      <c r="B293" s="22"/>
      <c r="C293" s="25">
        <f>ROUND(12.7125,4)</f>
        <v>12.7125</v>
      </c>
      <c r="D293" s="25">
        <f>F293</f>
        <v>13.2399</v>
      </c>
      <c r="E293" s="25">
        <f>F293</f>
        <v>13.2399</v>
      </c>
      <c r="F293" s="25">
        <f>ROUND(13.2399,4)</f>
        <v>13.2399</v>
      </c>
      <c r="G293" s="24"/>
      <c r="H293" s="35"/>
    </row>
    <row r="294" spans="1:8" ht="12.75" customHeight="1">
      <c r="A294" s="22">
        <v>43616</v>
      </c>
      <c r="B294" s="22"/>
      <c r="C294" s="25">
        <f>ROUND(12.7125,4)</f>
        <v>12.7125</v>
      </c>
      <c r="D294" s="25">
        <f>F294</f>
        <v>13.2889</v>
      </c>
      <c r="E294" s="25">
        <f>F294</f>
        <v>13.2889</v>
      </c>
      <c r="F294" s="25">
        <f>ROUND(13.2889,4)</f>
        <v>13.2889</v>
      </c>
      <c r="G294" s="24"/>
      <c r="H294" s="35"/>
    </row>
    <row r="295" spans="1:8" ht="12.75" customHeight="1">
      <c r="A295" s="22">
        <v>43619</v>
      </c>
      <c r="B295" s="22"/>
      <c r="C295" s="25">
        <f>ROUND(12.7125,4)</f>
        <v>12.7125</v>
      </c>
      <c r="D295" s="25">
        <f>F295</f>
        <v>13.2936</v>
      </c>
      <c r="E295" s="25">
        <f>F295</f>
        <v>13.2936</v>
      </c>
      <c r="F295" s="25">
        <f>ROUND(13.2936,4)</f>
        <v>13.2936</v>
      </c>
      <c r="G295" s="24"/>
      <c r="H295" s="35"/>
    </row>
    <row r="296" spans="1:8" ht="12.75" customHeight="1">
      <c r="A296" s="22">
        <v>43647</v>
      </c>
      <c r="B296" s="22"/>
      <c r="C296" s="25">
        <f>ROUND(12.7125,4)</f>
        <v>12.7125</v>
      </c>
      <c r="D296" s="25">
        <f>F296</f>
        <v>13.3357</v>
      </c>
      <c r="E296" s="25">
        <f>F296</f>
        <v>13.3357</v>
      </c>
      <c r="F296" s="25">
        <f>ROUND(13.3357,4)</f>
        <v>13.3357</v>
      </c>
      <c r="G296" s="24"/>
      <c r="H296" s="35"/>
    </row>
    <row r="297" spans="1:8" ht="12.75" customHeight="1">
      <c r="A297" s="22">
        <v>43678</v>
      </c>
      <c r="B297" s="22"/>
      <c r="C297" s="25">
        <f>ROUND(12.7125,4)</f>
        <v>12.7125</v>
      </c>
      <c r="D297" s="25">
        <f>F297</f>
        <v>13.3815</v>
      </c>
      <c r="E297" s="25">
        <f>F297</f>
        <v>13.3815</v>
      </c>
      <c r="F297" s="25">
        <f>ROUND(13.3815,4)</f>
        <v>13.3815</v>
      </c>
      <c r="G297" s="24"/>
      <c r="H297" s="35"/>
    </row>
    <row r="298" spans="1:8" ht="12.75" customHeight="1">
      <c r="A298" s="22">
        <v>43710</v>
      </c>
      <c r="B298" s="22"/>
      <c r="C298" s="25">
        <f>ROUND(12.7125,4)</f>
        <v>12.7125</v>
      </c>
      <c r="D298" s="25">
        <f>F298</f>
        <v>13.4288</v>
      </c>
      <c r="E298" s="25">
        <f>F298</f>
        <v>13.4288</v>
      </c>
      <c r="F298" s="25">
        <f>ROUND(13.4288,4)</f>
        <v>13.4288</v>
      </c>
      <c r="G298" s="24"/>
      <c r="H298" s="35"/>
    </row>
    <row r="299" spans="1:8" ht="12.75" customHeight="1">
      <c r="A299" s="22">
        <v>43740</v>
      </c>
      <c r="B299" s="22"/>
      <c r="C299" s="25">
        <f>ROUND(12.7125,4)</f>
        <v>12.7125</v>
      </c>
      <c r="D299" s="25">
        <f>F299</f>
        <v>13.4731</v>
      </c>
      <c r="E299" s="25">
        <f>F299</f>
        <v>13.4731</v>
      </c>
      <c r="F299" s="25">
        <f>ROUND(13.4731,4)</f>
        <v>13.4731</v>
      </c>
      <c r="G299" s="24"/>
      <c r="H299" s="35"/>
    </row>
    <row r="300" spans="1:8" ht="12.75" customHeight="1">
      <c r="A300" s="22">
        <v>43769</v>
      </c>
      <c r="B300" s="22"/>
      <c r="C300" s="25">
        <f>ROUND(12.7125,4)</f>
        <v>12.7125</v>
      </c>
      <c r="D300" s="25">
        <f>F300</f>
        <v>13.516</v>
      </c>
      <c r="E300" s="25">
        <f>F300</f>
        <v>13.516</v>
      </c>
      <c r="F300" s="25">
        <f>ROUND(13.516,4)</f>
        <v>13.516</v>
      </c>
      <c r="G300" s="24"/>
      <c r="H300" s="35"/>
    </row>
    <row r="301" spans="1:8" ht="12.75" customHeight="1">
      <c r="A301" s="22">
        <v>43801</v>
      </c>
      <c r="B301" s="22"/>
      <c r="C301" s="25">
        <f>ROUND(12.7125,4)</f>
        <v>12.7125</v>
      </c>
      <c r="D301" s="25">
        <f>F301</f>
        <v>13.5632</v>
      </c>
      <c r="E301" s="25">
        <f>F301</f>
        <v>13.5632</v>
      </c>
      <c r="F301" s="25">
        <f>ROUND(13.5632,4)</f>
        <v>13.5632</v>
      </c>
      <c r="G301" s="24"/>
      <c r="H301" s="35"/>
    </row>
    <row r="302" spans="1:8" ht="12.75" customHeight="1">
      <c r="A302" s="22">
        <v>43832</v>
      </c>
      <c r="B302" s="22"/>
      <c r="C302" s="25">
        <f>ROUND(12.7125,4)</f>
        <v>12.7125</v>
      </c>
      <c r="D302" s="25">
        <f>F302</f>
        <v>13.609</v>
      </c>
      <c r="E302" s="25">
        <f>F302</f>
        <v>13.609</v>
      </c>
      <c r="F302" s="25">
        <f>ROUND(13.609,4)</f>
        <v>13.609</v>
      </c>
      <c r="G302" s="24"/>
      <c r="H302" s="35"/>
    </row>
    <row r="303" spans="1:8" ht="12.75" customHeight="1">
      <c r="A303" s="22">
        <v>43861</v>
      </c>
      <c r="B303" s="22"/>
      <c r="C303" s="25">
        <f>ROUND(12.7125,4)</f>
        <v>12.7125</v>
      </c>
      <c r="D303" s="25">
        <f>F303</f>
        <v>13.6519</v>
      </c>
      <c r="E303" s="25">
        <f>F303</f>
        <v>13.6519</v>
      </c>
      <c r="F303" s="25">
        <f>ROUND(13.6519,4)</f>
        <v>13.6519</v>
      </c>
      <c r="G303" s="24"/>
      <c r="H303" s="35"/>
    </row>
    <row r="304" spans="1:8" ht="12.75" customHeight="1">
      <c r="A304" s="22">
        <v>43892</v>
      </c>
      <c r="B304" s="22"/>
      <c r="C304" s="25">
        <f>ROUND(12.7125,4)</f>
        <v>12.7125</v>
      </c>
      <c r="D304" s="25">
        <f>F304</f>
        <v>13.6977</v>
      </c>
      <c r="E304" s="25">
        <f>F304</f>
        <v>13.6977</v>
      </c>
      <c r="F304" s="25">
        <f>ROUND(13.6977,4)</f>
        <v>13.6977</v>
      </c>
      <c r="G304" s="24"/>
      <c r="H304" s="35"/>
    </row>
    <row r="305" spans="1:8" ht="12.75" customHeight="1">
      <c r="A305" s="22">
        <v>43923</v>
      </c>
      <c r="B305" s="22"/>
      <c r="C305" s="25">
        <f>ROUND(12.7125,4)</f>
        <v>12.7125</v>
      </c>
      <c r="D305" s="25">
        <f>F305</f>
        <v>13.7435</v>
      </c>
      <c r="E305" s="25">
        <f>F305</f>
        <v>13.7435</v>
      </c>
      <c r="F305" s="25">
        <f>ROUND(13.7435,4)</f>
        <v>13.7435</v>
      </c>
      <c r="G305" s="24"/>
      <c r="H305" s="35"/>
    </row>
    <row r="306" spans="1:8" ht="12.75" customHeight="1">
      <c r="A306" s="22">
        <v>43950</v>
      </c>
      <c r="B306" s="22"/>
      <c r="C306" s="25">
        <f>ROUND(12.7125,4)</f>
        <v>12.7125</v>
      </c>
      <c r="D306" s="25">
        <f>F306</f>
        <v>13.7834</v>
      </c>
      <c r="E306" s="25">
        <f>F306</f>
        <v>13.7834</v>
      </c>
      <c r="F306" s="25">
        <f>ROUND(13.7834,4)</f>
        <v>13.7834</v>
      </c>
      <c r="G306" s="24"/>
      <c r="H306" s="35"/>
    </row>
    <row r="307" spans="1:8" ht="12.75" customHeight="1">
      <c r="A307" s="22">
        <v>43984</v>
      </c>
      <c r="B307" s="22"/>
      <c r="C307" s="25">
        <f>ROUND(12.7125,4)</f>
        <v>12.7125</v>
      </c>
      <c r="D307" s="25">
        <f>F307</f>
        <v>13.8336</v>
      </c>
      <c r="E307" s="25">
        <f>F307</f>
        <v>13.8336</v>
      </c>
      <c r="F307" s="25">
        <f>ROUND(13.8336,4)</f>
        <v>13.8336</v>
      </c>
      <c r="G307" s="24"/>
      <c r="H307" s="35"/>
    </row>
    <row r="308" spans="1:8" ht="12.75" customHeight="1">
      <c r="A308" s="22">
        <v>44040</v>
      </c>
      <c r="B308" s="22"/>
      <c r="C308" s="25">
        <f>ROUND(12.7125,4)</f>
        <v>12.7125</v>
      </c>
      <c r="D308" s="25">
        <f>F308</f>
        <v>13.9475</v>
      </c>
      <c r="E308" s="25">
        <f>F308</f>
        <v>13.9475</v>
      </c>
      <c r="F308" s="25">
        <f>ROUND(13.9475,4)</f>
        <v>13.9475</v>
      </c>
      <c r="G308" s="24"/>
      <c r="H308" s="35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43280</v>
      </c>
      <c r="B310" s="22"/>
      <c r="C310" s="25">
        <f>ROUND(8.6546050475254,4)</f>
        <v>8.6546</v>
      </c>
      <c r="D310" s="25">
        <f>F310</f>
        <v>8.6196</v>
      </c>
      <c r="E310" s="25">
        <f>F310</f>
        <v>8.6196</v>
      </c>
      <c r="F310" s="25">
        <f>ROUND(8.6196,4)</f>
        <v>8.6196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ROUND(1.1777125,4)</f>
        <v>1.1777</v>
      </c>
      <c r="D312" s="25">
        <f>F312</f>
        <v>1.1785</v>
      </c>
      <c r="E312" s="25">
        <f>F312</f>
        <v>1.1785</v>
      </c>
      <c r="F312" s="25">
        <f>ROUND(1.1785,4)</f>
        <v>1.1785</v>
      </c>
      <c r="G312" s="24"/>
      <c r="H312" s="35"/>
    </row>
    <row r="313" spans="1:8" ht="12.75" customHeight="1">
      <c r="A313" s="22">
        <v>43360</v>
      </c>
      <c r="B313" s="22"/>
      <c r="C313" s="25">
        <f>ROUND(1.1777125,4)</f>
        <v>1.1777</v>
      </c>
      <c r="D313" s="25">
        <f>F313</f>
        <v>1.1868</v>
      </c>
      <c r="E313" s="25">
        <f>F313</f>
        <v>1.1868</v>
      </c>
      <c r="F313" s="25">
        <f>ROUND(1.1868,4)</f>
        <v>1.1868</v>
      </c>
      <c r="G313" s="24"/>
      <c r="H313" s="35"/>
    </row>
    <row r="314" spans="1:8" ht="12.75" customHeight="1">
      <c r="A314" s="22">
        <v>43448</v>
      </c>
      <c r="B314" s="22"/>
      <c r="C314" s="25">
        <f>ROUND(1.1777125,4)</f>
        <v>1.1777</v>
      </c>
      <c r="D314" s="25">
        <f>F314</f>
        <v>1.1955</v>
      </c>
      <c r="E314" s="25">
        <f>F314</f>
        <v>1.1955</v>
      </c>
      <c r="F314" s="25">
        <f>ROUND(1.1955,4)</f>
        <v>1.1955</v>
      </c>
      <c r="G314" s="24"/>
      <c r="H314" s="35"/>
    </row>
    <row r="315" spans="1:8" ht="12.75" customHeight="1">
      <c r="A315" s="22">
        <v>43542</v>
      </c>
      <c r="B315" s="22"/>
      <c r="C315" s="25">
        <f>ROUND(1.1777125,4)</f>
        <v>1.1777</v>
      </c>
      <c r="D315" s="25">
        <f>F315</f>
        <v>1.2057</v>
      </c>
      <c r="E315" s="25">
        <f>F315</f>
        <v>1.2057</v>
      </c>
      <c r="F315" s="25">
        <f>ROUND(1.2057,4)</f>
        <v>1.2057</v>
      </c>
      <c r="G315" s="24"/>
      <c r="H315" s="35"/>
    </row>
    <row r="316" spans="1:8" ht="12.75" customHeight="1">
      <c r="A316" s="22" t="s">
        <v>69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ROUND(1.3429,4)</f>
        <v>1.3429</v>
      </c>
      <c r="D317" s="25">
        <f>F317</f>
        <v>1.3434</v>
      </c>
      <c r="E317" s="25">
        <f>F317</f>
        <v>1.3434</v>
      </c>
      <c r="F317" s="25">
        <f>ROUND(1.3434,4)</f>
        <v>1.3434</v>
      </c>
      <c r="G317" s="24"/>
      <c r="H317" s="35"/>
    </row>
    <row r="318" spans="1:8" ht="12.75" customHeight="1">
      <c r="A318" s="22">
        <v>43360</v>
      </c>
      <c r="B318" s="22"/>
      <c r="C318" s="25">
        <f>ROUND(1.3429,4)</f>
        <v>1.3429</v>
      </c>
      <c r="D318" s="25">
        <f>F318</f>
        <v>1.3492</v>
      </c>
      <c r="E318" s="25">
        <f>F318</f>
        <v>1.3492</v>
      </c>
      <c r="F318" s="25">
        <f>ROUND(1.3492,4)</f>
        <v>1.3492</v>
      </c>
      <c r="G318" s="24"/>
      <c r="H318" s="35"/>
    </row>
    <row r="319" spans="1:8" ht="12.75" customHeight="1">
      <c r="A319" s="22">
        <v>43448</v>
      </c>
      <c r="B319" s="22"/>
      <c r="C319" s="25">
        <f>ROUND(1.3429,4)</f>
        <v>1.3429</v>
      </c>
      <c r="D319" s="25">
        <f>F319</f>
        <v>1.3549</v>
      </c>
      <c r="E319" s="25">
        <f>F319</f>
        <v>1.3549</v>
      </c>
      <c r="F319" s="25">
        <f>ROUND(1.3549,4)</f>
        <v>1.3549</v>
      </c>
      <c r="G319" s="24"/>
      <c r="H319" s="35"/>
    </row>
    <row r="320" spans="1:8" ht="12.75" customHeight="1">
      <c r="A320" s="22">
        <v>43542</v>
      </c>
      <c r="B320" s="22"/>
      <c r="C320" s="25">
        <f>ROUND(1.3429,4)</f>
        <v>1.3429</v>
      </c>
      <c r="D320" s="25">
        <f>F320</f>
        <v>1.3616</v>
      </c>
      <c r="E320" s="25">
        <f>F320</f>
        <v>1.3616</v>
      </c>
      <c r="F320" s="25">
        <f>ROUND(1.3616,4)</f>
        <v>1.3616</v>
      </c>
      <c r="G320" s="24"/>
      <c r="H320" s="35"/>
    </row>
    <row r="321" spans="1:8" ht="12.75" customHeight="1">
      <c r="A321" s="22" t="s">
        <v>70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43269</v>
      </c>
      <c r="B322" s="22"/>
      <c r="C322" s="25">
        <f>ROUND(8.6546050475254,4)</f>
        <v>8.6546</v>
      </c>
      <c r="D322" s="25">
        <f>F322</f>
        <v>8.6382</v>
      </c>
      <c r="E322" s="25">
        <f>F322</f>
        <v>8.6382</v>
      </c>
      <c r="F322" s="25">
        <f>ROUND(8.6382,4)</f>
        <v>8.6382</v>
      </c>
      <c r="G322" s="24"/>
      <c r="H322" s="35"/>
    </row>
    <row r="323" spans="1:8" ht="12.75" customHeight="1">
      <c r="A323" s="22">
        <v>43360</v>
      </c>
      <c r="B323" s="22"/>
      <c r="C323" s="25">
        <f>ROUND(8.6546050475254,4)</f>
        <v>8.6546</v>
      </c>
      <c r="D323" s="25">
        <f>F323</f>
        <v>8.4827</v>
      </c>
      <c r="E323" s="25">
        <f>F323</f>
        <v>8.4827</v>
      </c>
      <c r="F323" s="25">
        <f>ROUND(8.4827,4)</f>
        <v>8.4827</v>
      </c>
      <c r="G323" s="24"/>
      <c r="H323" s="35"/>
    </row>
    <row r="324" spans="1:8" ht="12.75" customHeight="1">
      <c r="A324" s="22">
        <v>43448</v>
      </c>
      <c r="B324" s="22"/>
      <c r="C324" s="25">
        <f>ROUND(8.6546050475254,4)</f>
        <v>8.6546</v>
      </c>
      <c r="D324" s="25">
        <f>F324</f>
        <v>8.3331</v>
      </c>
      <c r="E324" s="25">
        <f>F324</f>
        <v>8.3331</v>
      </c>
      <c r="F324" s="25">
        <f>ROUND(8.3331,4)</f>
        <v>8.3331</v>
      </c>
      <c r="G324" s="24"/>
      <c r="H324" s="35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ROUND(9.74752125,4)</f>
        <v>9.7475</v>
      </c>
      <c r="D326" s="25">
        <f>F326</f>
        <v>9.7606</v>
      </c>
      <c r="E326" s="25">
        <f>F326</f>
        <v>9.7606</v>
      </c>
      <c r="F326" s="25">
        <f>ROUND(9.7606,4)</f>
        <v>9.7606</v>
      </c>
      <c r="G326" s="24"/>
      <c r="H326" s="35"/>
    </row>
    <row r="327" spans="1:8" ht="12.75" customHeight="1">
      <c r="A327" s="22">
        <v>43360</v>
      </c>
      <c r="B327" s="22"/>
      <c r="C327" s="25">
        <f>ROUND(9.74752125,4)</f>
        <v>9.7475</v>
      </c>
      <c r="D327" s="25">
        <f>F327</f>
        <v>9.8824</v>
      </c>
      <c r="E327" s="25">
        <f>F327</f>
        <v>9.8824</v>
      </c>
      <c r="F327" s="25">
        <f>ROUND(9.8824,4)</f>
        <v>9.8824</v>
      </c>
      <c r="G327" s="24"/>
      <c r="H327" s="35"/>
    </row>
    <row r="328" spans="1:8" ht="12.75" customHeight="1">
      <c r="A328" s="22">
        <v>43448</v>
      </c>
      <c r="B328" s="22"/>
      <c r="C328" s="25">
        <f>ROUND(9.74752125,4)</f>
        <v>9.7475</v>
      </c>
      <c r="D328" s="25">
        <f>F328</f>
        <v>10.0012</v>
      </c>
      <c r="E328" s="25">
        <f>F328</f>
        <v>10.0012</v>
      </c>
      <c r="F328" s="25">
        <f>ROUND(10.0012,4)</f>
        <v>10.0012</v>
      </c>
      <c r="G328" s="24"/>
      <c r="H328" s="35"/>
    </row>
    <row r="329" spans="1:8" ht="12.75" customHeight="1">
      <c r="A329" s="22">
        <v>43542</v>
      </c>
      <c r="B329" s="22"/>
      <c r="C329" s="25">
        <f>ROUND(9.74752125,4)</f>
        <v>9.7475</v>
      </c>
      <c r="D329" s="25">
        <f>F329</f>
        <v>10.129</v>
      </c>
      <c r="E329" s="25">
        <f>F329</f>
        <v>10.129</v>
      </c>
      <c r="F329" s="25">
        <f>ROUND(10.129,4)</f>
        <v>10.129</v>
      </c>
      <c r="G329" s="24"/>
      <c r="H329" s="35"/>
    </row>
    <row r="330" spans="1:8" ht="12.75" customHeight="1">
      <c r="A330" s="22">
        <v>43630</v>
      </c>
      <c r="B330" s="22"/>
      <c r="C330" s="25">
        <f>ROUND(9.74752125,4)</f>
        <v>9.7475</v>
      </c>
      <c r="D330" s="25">
        <f>F330</f>
        <v>10.2497</v>
      </c>
      <c r="E330" s="25">
        <f>F330</f>
        <v>10.2497</v>
      </c>
      <c r="F330" s="25">
        <f>ROUND(10.2497,4)</f>
        <v>10.2497</v>
      </c>
      <c r="G330" s="24"/>
      <c r="H330" s="35"/>
    </row>
    <row r="331" spans="1:8" ht="12.75" customHeight="1">
      <c r="A331" s="22">
        <v>43724</v>
      </c>
      <c r="B331" s="22"/>
      <c r="C331" s="25">
        <f>ROUND(9.74752125,4)</f>
        <v>9.7475</v>
      </c>
      <c r="D331" s="25">
        <f>F331</f>
        <v>10.3716</v>
      </c>
      <c r="E331" s="25">
        <f>F331</f>
        <v>10.3716</v>
      </c>
      <c r="F331" s="25">
        <f>ROUND(10.3716,4)</f>
        <v>10.3716</v>
      </c>
      <c r="G331" s="24"/>
      <c r="H331" s="35"/>
    </row>
    <row r="332" spans="1:8" ht="12.75" customHeight="1">
      <c r="A332" s="22">
        <v>43812</v>
      </c>
      <c r="B332" s="22"/>
      <c r="C332" s="25">
        <f>ROUND(9.74752125,4)</f>
        <v>9.7475</v>
      </c>
      <c r="D332" s="25">
        <f>F332</f>
        <v>10.4859</v>
      </c>
      <c r="E332" s="25">
        <f>F332</f>
        <v>10.4859</v>
      </c>
      <c r="F332" s="25">
        <f>ROUND(10.4859,4)</f>
        <v>10.4859</v>
      </c>
      <c r="G332" s="24"/>
      <c r="H332" s="35"/>
    </row>
    <row r="333" spans="1:8" ht="12.75" customHeight="1">
      <c r="A333" s="22">
        <v>43906</v>
      </c>
      <c r="B333" s="22"/>
      <c r="C333" s="25">
        <f>ROUND(9.74752125,4)</f>
        <v>9.7475</v>
      </c>
      <c r="D333" s="25">
        <f>F333</f>
        <v>10.6068</v>
      </c>
      <c r="E333" s="25">
        <f>F333</f>
        <v>10.6068</v>
      </c>
      <c r="F333" s="25">
        <f>ROUND(10.6068,4)</f>
        <v>10.6068</v>
      </c>
      <c r="G333" s="24"/>
      <c r="H333" s="35"/>
    </row>
    <row r="334" spans="1:8" ht="12.75" customHeight="1">
      <c r="A334" s="22" t="s">
        <v>72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ROUND(3.46092590828036,4)</f>
        <v>3.4609</v>
      </c>
      <c r="D335" s="25">
        <f>F335</f>
        <v>3.697</v>
      </c>
      <c r="E335" s="25">
        <f>F335</f>
        <v>3.697</v>
      </c>
      <c r="F335" s="25">
        <f>ROUND(3.697,4)</f>
        <v>3.697</v>
      </c>
      <c r="G335" s="24"/>
      <c r="H335" s="35"/>
    </row>
    <row r="336" spans="1:8" ht="12.75" customHeight="1">
      <c r="A336" s="22">
        <v>43360</v>
      </c>
      <c r="B336" s="22"/>
      <c r="C336" s="25">
        <f>ROUND(3.46092590828036,4)</f>
        <v>3.4609</v>
      </c>
      <c r="D336" s="25">
        <f>F336</f>
        <v>3.7348</v>
      </c>
      <c r="E336" s="25">
        <f>F336</f>
        <v>3.7348</v>
      </c>
      <c r="F336" s="25">
        <f>ROUND(3.7348,4)</f>
        <v>3.7348</v>
      </c>
      <c r="G336" s="24"/>
      <c r="H336" s="35"/>
    </row>
    <row r="337" spans="1:8" ht="12.75" customHeight="1">
      <c r="A337" s="22">
        <v>43448</v>
      </c>
      <c r="B337" s="22"/>
      <c r="C337" s="25">
        <f>ROUND(3.46092590828036,4)</f>
        <v>3.4609</v>
      </c>
      <c r="D337" s="25">
        <f>F337</f>
        <v>3.7709</v>
      </c>
      <c r="E337" s="25">
        <f>F337</f>
        <v>3.7709</v>
      </c>
      <c r="F337" s="25">
        <f>ROUND(3.7709,4)</f>
        <v>3.7709</v>
      </c>
      <c r="G337" s="24"/>
      <c r="H337" s="35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5"/>
    </row>
    <row r="339" spans="1:8" ht="12.75" customHeight="1">
      <c r="A339" s="22">
        <v>43269</v>
      </c>
      <c r="B339" s="22"/>
      <c r="C339" s="25">
        <f>ROUND(1.26743625,4)</f>
        <v>1.2674</v>
      </c>
      <c r="D339" s="25">
        <f>F339</f>
        <v>1.2684</v>
      </c>
      <c r="E339" s="25">
        <f>F339</f>
        <v>1.2684</v>
      </c>
      <c r="F339" s="25">
        <f>ROUND(1.2684,4)</f>
        <v>1.2684</v>
      </c>
      <c r="G339" s="24"/>
      <c r="H339" s="35"/>
    </row>
    <row r="340" spans="1:8" ht="12.75" customHeight="1">
      <c r="A340" s="22">
        <v>43360</v>
      </c>
      <c r="B340" s="22"/>
      <c r="C340" s="25">
        <f>ROUND(1.26743625,4)</f>
        <v>1.2674</v>
      </c>
      <c r="D340" s="25">
        <f>F340</f>
        <v>1.2766</v>
      </c>
      <c r="E340" s="25">
        <f>F340</f>
        <v>1.2766</v>
      </c>
      <c r="F340" s="25">
        <f>ROUND(1.2766,4)</f>
        <v>1.2766</v>
      </c>
      <c r="G340" s="24"/>
      <c r="H340" s="35"/>
    </row>
    <row r="341" spans="1:8" ht="12.75" customHeight="1">
      <c r="A341" s="22">
        <v>43448</v>
      </c>
      <c r="B341" s="22"/>
      <c r="C341" s="25">
        <f>ROUND(1.26743625,4)</f>
        <v>1.2674</v>
      </c>
      <c r="D341" s="25">
        <f>F341</f>
        <v>1.2848</v>
      </c>
      <c r="E341" s="25">
        <f>F341</f>
        <v>1.2848</v>
      </c>
      <c r="F341" s="25">
        <f>ROUND(1.2848,4)</f>
        <v>1.2848</v>
      </c>
      <c r="G341" s="24"/>
      <c r="H341" s="35"/>
    </row>
    <row r="342" spans="1:8" ht="12.75" customHeight="1">
      <c r="A342" s="22">
        <v>43542</v>
      </c>
      <c r="B342" s="22"/>
      <c r="C342" s="25">
        <f>ROUND(1.26743625,4)</f>
        <v>1.2674</v>
      </c>
      <c r="D342" s="25">
        <f>F342</f>
        <v>1.2936</v>
      </c>
      <c r="E342" s="25">
        <f>F342</f>
        <v>1.2936</v>
      </c>
      <c r="F342" s="25">
        <f>ROUND(1.2936,4)</f>
        <v>1.2936</v>
      </c>
      <c r="G342" s="24"/>
      <c r="H342" s="35"/>
    </row>
    <row r="343" spans="1:8" ht="12.75" customHeight="1">
      <c r="A343" s="22">
        <v>43630</v>
      </c>
      <c r="B343" s="22"/>
      <c r="C343" s="25">
        <f>ROUND(1.26743625,4)</f>
        <v>1.2674</v>
      </c>
      <c r="D343" s="25">
        <f>F343</f>
        <v>1.34</v>
      </c>
      <c r="E343" s="25">
        <f>F343</f>
        <v>1.34</v>
      </c>
      <c r="F343" s="25">
        <f>ROUND(1.34,4)</f>
        <v>1.34</v>
      </c>
      <c r="G343" s="24"/>
      <c r="H343" s="35"/>
    </row>
    <row r="344" spans="1:8" ht="12.75" customHeight="1">
      <c r="A344" s="22">
        <v>43724</v>
      </c>
      <c r="B344" s="22"/>
      <c r="C344" s="25">
        <f>ROUND(1.26743625,4)</f>
        <v>1.2674</v>
      </c>
      <c r="D344" s="25">
        <f>F344</f>
        <v>1.3617</v>
      </c>
      <c r="E344" s="25">
        <f>F344</f>
        <v>1.3617</v>
      </c>
      <c r="F344" s="25">
        <f>ROUND(1.3617,4)</f>
        <v>1.3617</v>
      </c>
      <c r="G344" s="24"/>
      <c r="H344" s="35"/>
    </row>
    <row r="345" spans="1:8" ht="12.75" customHeight="1">
      <c r="A345" s="22">
        <v>43812</v>
      </c>
      <c r="B345" s="22"/>
      <c r="C345" s="25">
        <f>ROUND(1.26743625,4)</f>
        <v>1.2674</v>
      </c>
      <c r="D345" s="25">
        <f>F345</f>
        <v>1.3677</v>
      </c>
      <c r="E345" s="25">
        <f>F345</f>
        <v>1.3677</v>
      </c>
      <c r="F345" s="25">
        <f>ROUND(1.3677,4)</f>
        <v>1.3677</v>
      </c>
      <c r="G345" s="24"/>
      <c r="H345" s="35"/>
    </row>
    <row r="346" spans="1:8" ht="12.75" customHeight="1">
      <c r="A346" s="22">
        <v>43906</v>
      </c>
      <c r="B346" s="22"/>
      <c r="C346" s="25">
        <f>ROUND(1.26743625,4)</f>
        <v>1.2674</v>
      </c>
      <c r="D346" s="25">
        <f>F346</f>
        <v>1.3718</v>
      </c>
      <c r="E346" s="25">
        <f>F346</f>
        <v>1.3718</v>
      </c>
      <c r="F346" s="25">
        <f>ROUND(1.3718,4)</f>
        <v>1.3718</v>
      </c>
      <c r="G346" s="24"/>
      <c r="H346" s="35"/>
    </row>
    <row r="347" spans="1:8" ht="12.75" customHeight="1">
      <c r="A347" s="22" t="s">
        <v>74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ROUND(9.85083301046106,4)</f>
        <v>9.8508</v>
      </c>
      <c r="D348" s="25">
        <f>F348</f>
        <v>9.8656</v>
      </c>
      <c r="E348" s="25">
        <f>F348</f>
        <v>9.8656</v>
      </c>
      <c r="F348" s="25">
        <f>ROUND(9.8656,4)</f>
        <v>9.8656</v>
      </c>
      <c r="G348" s="24"/>
      <c r="H348" s="35"/>
    </row>
    <row r="349" spans="1:8" ht="12.75" customHeight="1">
      <c r="A349" s="22">
        <v>43360</v>
      </c>
      <c r="B349" s="22"/>
      <c r="C349" s="25">
        <f>ROUND(9.85083301046106,4)</f>
        <v>9.8508</v>
      </c>
      <c r="D349" s="25">
        <f>F349</f>
        <v>10.0024</v>
      </c>
      <c r="E349" s="25">
        <f>F349</f>
        <v>10.0024</v>
      </c>
      <c r="F349" s="25">
        <f>ROUND(10.0024,4)</f>
        <v>10.0024</v>
      </c>
      <c r="G349" s="24"/>
      <c r="H349" s="35"/>
    </row>
    <row r="350" spans="1:8" ht="12.75" customHeight="1">
      <c r="A350" s="22">
        <v>43448</v>
      </c>
      <c r="B350" s="22"/>
      <c r="C350" s="25">
        <f>ROUND(9.85083301046106,4)</f>
        <v>9.8508</v>
      </c>
      <c r="D350" s="25">
        <f>F350</f>
        <v>10.1316</v>
      </c>
      <c r="E350" s="25">
        <f>F350</f>
        <v>10.1316</v>
      </c>
      <c r="F350" s="25">
        <f>ROUND(10.1316,4)</f>
        <v>10.1316</v>
      </c>
      <c r="G350" s="24"/>
      <c r="H350" s="35"/>
    </row>
    <row r="351" spans="1:8" ht="12.75" customHeight="1">
      <c r="A351" s="22">
        <v>43542</v>
      </c>
      <c r="B351" s="22"/>
      <c r="C351" s="25">
        <f>ROUND(9.85083301046106,4)</f>
        <v>9.8508</v>
      </c>
      <c r="D351" s="25">
        <f>F351</f>
        <v>10.1519</v>
      </c>
      <c r="E351" s="25">
        <f>F351</f>
        <v>10.1519</v>
      </c>
      <c r="F351" s="25">
        <f>ROUND(10.1519,4)</f>
        <v>10.1519</v>
      </c>
      <c r="G351" s="24"/>
      <c r="H351" s="35"/>
    </row>
    <row r="352" spans="1:8" ht="12.75" customHeight="1">
      <c r="A352" s="22">
        <v>43630</v>
      </c>
      <c r="B352" s="22"/>
      <c r="C352" s="25">
        <f>ROUND(9.85083301046106,4)</f>
        <v>9.8508</v>
      </c>
      <c r="D352" s="25">
        <f>F352</f>
        <v>10.2836</v>
      </c>
      <c r="E352" s="25">
        <f>F352</f>
        <v>10.2836</v>
      </c>
      <c r="F352" s="25">
        <f>ROUND(10.2836,4)</f>
        <v>10.2836</v>
      </c>
      <c r="G352" s="24"/>
      <c r="H352" s="35"/>
    </row>
    <row r="353" spans="1:8" ht="12.75" customHeight="1">
      <c r="A353" s="22">
        <v>43724</v>
      </c>
      <c r="B353" s="22"/>
      <c r="C353" s="25">
        <f>ROUND(9.85083301046106,4)</f>
        <v>9.8508</v>
      </c>
      <c r="D353" s="25">
        <f>F353</f>
        <v>10.4074</v>
      </c>
      <c r="E353" s="25">
        <f>F353</f>
        <v>10.4074</v>
      </c>
      <c r="F353" s="25">
        <f>ROUND(10.4074,4)</f>
        <v>10.4074</v>
      </c>
      <c r="G353" s="24"/>
      <c r="H353" s="35"/>
    </row>
    <row r="354" spans="1:8" ht="12.75" customHeight="1">
      <c r="A354" s="22">
        <v>43812</v>
      </c>
      <c r="B354" s="22"/>
      <c r="C354" s="25">
        <f>ROUND(9.85083301046106,4)</f>
        <v>9.8508</v>
      </c>
      <c r="D354" s="25">
        <f>F354</f>
        <v>10.4219</v>
      </c>
      <c r="E354" s="25">
        <f>F354</f>
        <v>10.4219</v>
      </c>
      <c r="F354" s="25">
        <f>ROUND(10.4219,4)</f>
        <v>10.4219</v>
      </c>
      <c r="G354" s="24"/>
      <c r="H354" s="35"/>
    </row>
    <row r="355" spans="1:8" ht="12.75" customHeight="1">
      <c r="A355" s="22">
        <v>43906</v>
      </c>
      <c r="B355" s="22"/>
      <c r="C355" s="25">
        <f>ROUND(9.85083301046106,4)</f>
        <v>9.8508</v>
      </c>
      <c r="D355" s="25">
        <f>F355</f>
        <v>10.5227</v>
      </c>
      <c r="E355" s="25">
        <f>F355</f>
        <v>10.5227</v>
      </c>
      <c r="F355" s="25">
        <f>ROUND(10.5227,4)</f>
        <v>10.5227</v>
      </c>
      <c r="G355" s="24"/>
      <c r="H355" s="35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ROUND(1.99554778682678,4)</f>
        <v>1.9955</v>
      </c>
      <c r="D357" s="25">
        <f>F357</f>
        <v>1.9949</v>
      </c>
      <c r="E357" s="25">
        <f>F357</f>
        <v>1.9949</v>
      </c>
      <c r="F357" s="25">
        <f>ROUND(1.9949,4)</f>
        <v>1.9949</v>
      </c>
      <c r="G357" s="24"/>
      <c r="H357" s="35"/>
    </row>
    <row r="358" spans="1:8" ht="12.75" customHeight="1">
      <c r="A358" s="22">
        <v>43360</v>
      </c>
      <c r="B358" s="22"/>
      <c r="C358" s="25">
        <f>ROUND(1.99554778682678,4)</f>
        <v>1.9955</v>
      </c>
      <c r="D358" s="25">
        <f>F358</f>
        <v>2.0108</v>
      </c>
      <c r="E358" s="25">
        <f>F358</f>
        <v>2.0108</v>
      </c>
      <c r="F358" s="25">
        <f>ROUND(2.0108,4)</f>
        <v>2.0108</v>
      </c>
      <c r="G358" s="24"/>
      <c r="H358" s="35"/>
    </row>
    <row r="359" spans="1:8" ht="12.75" customHeight="1">
      <c r="A359" s="22">
        <v>43448</v>
      </c>
      <c r="B359" s="22"/>
      <c r="C359" s="25">
        <f>ROUND(1.99554778682678,4)</f>
        <v>1.9955</v>
      </c>
      <c r="D359" s="25">
        <f>F359</f>
        <v>2.0264</v>
      </c>
      <c r="E359" s="25">
        <f>F359</f>
        <v>2.0264</v>
      </c>
      <c r="F359" s="25">
        <f>ROUND(2.0264,4)</f>
        <v>2.0264</v>
      </c>
      <c r="G359" s="24"/>
      <c r="H359" s="35"/>
    </row>
    <row r="360" spans="1:8" ht="12.75" customHeight="1">
      <c r="A360" s="22">
        <v>43542</v>
      </c>
      <c r="B360" s="22"/>
      <c r="C360" s="25">
        <f>ROUND(1.99554778682678,4)</f>
        <v>1.9955</v>
      </c>
      <c r="D360" s="25">
        <f>F360</f>
        <v>2.0424</v>
      </c>
      <c r="E360" s="25">
        <f>F360</f>
        <v>2.0424</v>
      </c>
      <c r="F360" s="25">
        <f>ROUND(2.0424,4)</f>
        <v>2.0424</v>
      </c>
      <c r="G360" s="24"/>
      <c r="H360" s="35"/>
    </row>
    <row r="361" spans="1:8" ht="12.75" customHeight="1">
      <c r="A361" s="22">
        <v>43630</v>
      </c>
      <c r="B361" s="22"/>
      <c r="C361" s="25">
        <f>ROUND(1.99554778682678,4)</f>
        <v>1.9955</v>
      </c>
      <c r="D361" s="25">
        <f>F361</f>
        <v>2.0574</v>
      </c>
      <c r="E361" s="25">
        <f>F361</f>
        <v>2.0574</v>
      </c>
      <c r="F361" s="25">
        <f>ROUND(2.0574,4)</f>
        <v>2.0574</v>
      </c>
      <c r="G361" s="24"/>
      <c r="H361" s="35"/>
    </row>
    <row r="362" spans="1:8" ht="12.75" customHeight="1">
      <c r="A362" s="22">
        <v>43724</v>
      </c>
      <c r="B362" s="22"/>
      <c r="C362" s="25">
        <f>ROUND(1.99554778682678,4)</f>
        <v>1.9955</v>
      </c>
      <c r="D362" s="25">
        <f>F362</f>
        <v>2.0719</v>
      </c>
      <c r="E362" s="25">
        <f>F362</f>
        <v>2.0719</v>
      </c>
      <c r="F362" s="25">
        <f>ROUND(2.0719,4)</f>
        <v>2.0719</v>
      </c>
      <c r="G362" s="24"/>
      <c r="H362" s="35"/>
    </row>
    <row r="363" spans="1:8" ht="12.75" customHeight="1">
      <c r="A363" s="22">
        <v>43812</v>
      </c>
      <c r="B363" s="22"/>
      <c r="C363" s="25">
        <f>ROUND(1.99554778682678,4)</f>
        <v>1.9955</v>
      </c>
      <c r="D363" s="25">
        <f>F363</f>
        <v>2.0853</v>
      </c>
      <c r="E363" s="25">
        <f>F363</f>
        <v>2.0853</v>
      </c>
      <c r="F363" s="25">
        <f>ROUND(2.0853,4)</f>
        <v>2.0853</v>
      </c>
      <c r="G363" s="24"/>
      <c r="H363" s="35"/>
    </row>
    <row r="364" spans="1:8" ht="12.75" customHeight="1">
      <c r="A364" s="22">
        <v>43906</v>
      </c>
      <c r="B364" s="22"/>
      <c r="C364" s="25">
        <f>ROUND(1.99554778682678,4)</f>
        <v>1.9955</v>
      </c>
      <c r="D364" s="25">
        <f>F364</f>
        <v>2.0997</v>
      </c>
      <c r="E364" s="25">
        <f>F364</f>
        <v>2.0997</v>
      </c>
      <c r="F364" s="25">
        <f>ROUND(2.0997,4)</f>
        <v>2.0997</v>
      </c>
      <c r="G364" s="24"/>
      <c r="H364" s="35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ROUND(2.01188535616503,4)</f>
        <v>2.0119</v>
      </c>
      <c r="D366" s="25">
        <f>F366</f>
        <v>2.0187</v>
      </c>
      <c r="E366" s="25">
        <f>F366</f>
        <v>2.0187</v>
      </c>
      <c r="F366" s="25">
        <f>ROUND(2.0187,4)</f>
        <v>2.0187</v>
      </c>
      <c r="G366" s="24"/>
      <c r="H366" s="35"/>
    </row>
    <row r="367" spans="1:8" ht="12.75" customHeight="1">
      <c r="A367" s="22">
        <v>43360</v>
      </c>
      <c r="B367" s="22"/>
      <c r="C367" s="25">
        <f>ROUND(2.01188535616503,4)</f>
        <v>2.0119</v>
      </c>
      <c r="D367" s="25">
        <f>F367</f>
        <v>2.0576</v>
      </c>
      <c r="E367" s="25">
        <f>F367</f>
        <v>2.0576</v>
      </c>
      <c r="F367" s="25">
        <f>ROUND(2.0576,4)</f>
        <v>2.0576</v>
      </c>
      <c r="G367" s="24"/>
      <c r="H367" s="35"/>
    </row>
    <row r="368" spans="1:8" ht="12.75" customHeight="1">
      <c r="A368" s="22">
        <v>43448</v>
      </c>
      <c r="B368" s="22"/>
      <c r="C368" s="25">
        <f>ROUND(2.01188535616503,4)</f>
        <v>2.0119</v>
      </c>
      <c r="D368" s="25">
        <f>F368</f>
        <v>2.0966</v>
      </c>
      <c r="E368" s="25">
        <f>F368</f>
        <v>2.0966</v>
      </c>
      <c r="F368" s="25">
        <f>ROUND(2.0966,4)</f>
        <v>2.0966</v>
      </c>
      <c r="G368" s="24"/>
      <c r="H368" s="35"/>
    </row>
    <row r="369" spans="1:8" ht="12.75" customHeight="1">
      <c r="A369" s="22">
        <v>43542</v>
      </c>
      <c r="B369" s="22"/>
      <c r="C369" s="25">
        <f>ROUND(2.01188535616503,4)</f>
        <v>2.0119</v>
      </c>
      <c r="D369" s="25">
        <f>F369</f>
        <v>2.1399</v>
      </c>
      <c r="E369" s="25">
        <f>F369</f>
        <v>2.1399</v>
      </c>
      <c r="F369" s="25">
        <f>ROUND(2.1399,4)</f>
        <v>2.1399</v>
      </c>
      <c r="G369" s="24"/>
      <c r="H369" s="35"/>
    </row>
    <row r="370" spans="1:8" ht="12.75" customHeight="1">
      <c r="A370" s="22">
        <v>43630</v>
      </c>
      <c r="B370" s="22"/>
      <c r="C370" s="25">
        <f>ROUND(2.01188535616503,4)</f>
        <v>2.0119</v>
      </c>
      <c r="D370" s="25">
        <f>F370</f>
        <v>2.2446</v>
      </c>
      <c r="E370" s="25">
        <f>F370</f>
        <v>2.2446</v>
      </c>
      <c r="F370" s="25">
        <f>ROUND(2.2446,4)</f>
        <v>2.2446</v>
      </c>
      <c r="G370" s="24"/>
      <c r="H370" s="35"/>
    </row>
    <row r="371" spans="1:8" ht="12.75" customHeight="1">
      <c r="A371" s="22">
        <v>43724</v>
      </c>
      <c r="B371" s="22"/>
      <c r="C371" s="25">
        <f>ROUND(2.01188535616503,4)</f>
        <v>2.0119</v>
      </c>
      <c r="D371" s="25">
        <f>F371</f>
        <v>2.2811</v>
      </c>
      <c r="E371" s="25">
        <f>F371</f>
        <v>2.2811</v>
      </c>
      <c r="F371" s="25">
        <f>ROUND(2.2811,4)</f>
        <v>2.2811</v>
      </c>
      <c r="G371" s="24"/>
      <c r="H371" s="35"/>
    </row>
    <row r="372" spans="1:8" ht="12.75" customHeight="1">
      <c r="A372" s="22">
        <v>43812</v>
      </c>
      <c r="B372" s="22"/>
      <c r="C372" s="25">
        <f>ROUND(2.01188535616503,4)</f>
        <v>2.0119</v>
      </c>
      <c r="D372" s="25">
        <f>F372</f>
        <v>2.3424</v>
      </c>
      <c r="E372" s="25">
        <f>F372</f>
        <v>2.3424</v>
      </c>
      <c r="F372" s="25">
        <f>ROUND(2.3424,4)</f>
        <v>2.3424</v>
      </c>
      <c r="G372" s="24"/>
      <c r="H372" s="35"/>
    </row>
    <row r="373" spans="1:8" ht="12.75" customHeight="1">
      <c r="A373" s="22">
        <v>43906</v>
      </c>
      <c r="B373" s="22"/>
      <c r="C373" s="25">
        <f>ROUND(2.01188535616503,4)</f>
        <v>2.0119</v>
      </c>
      <c r="D373" s="25">
        <f>F373</f>
        <v>2.4061</v>
      </c>
      <c r="E373" s="25">
        <f>F373</f>
        <v>2.4061</v>
      </c>
      <c r="F373" s="25">
        <f>ROUND(2.4061,4)</f>
        <v>2.4061</v>
      </c>
      <c r="G373" s="24"/>
      <c r="H373" s="35"/>
    </row>
    <row r="374" spans="1:8" ht="12.75" customHeight="1">
      <c r="A374" s="22" t="s">
        <v>77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ROUND(14.97167015625,4)</f>
        <v>14.9717</v>
      </c>
      <c r="D375" s="25">
        <f>F375</f>
        <v>15.0013</v>
      </c>
      <c r="E375" s="25">
        <f>F375</f>
        <v>15.0013</v>
      </c>
      <c r="F375" s="25">
        <f>ROUND(15.0013,4)</f>
        <v>15.0013</v>
      </c>
      <c r="G375" s="24"/>
      <c r="H375" s="35"/>
    </row>
    <row r="376" spans="1:8" ht="12.75" customHeight="1">
      <c r="A376" s="22">
        <v>43360</v>
      </c>
      <c r="B376" s="22"/>
      <c r="C376" s="25">
        <f>ROUND(14.97167015625,4)</f>
        <v>14.9717</v>
      </c>
      <c r="D376" s="25">
        <f>F376</f>
        <v>15.2864</v>
      </c>
      <c r="E376" s="25">
        <f>F376</f>
        <v>15.2864</v>
      </c>
      <c r="F376" s="25">
        <f>ROUND(15.2864,4)</f>
        <v>15.2864</v>
      </c>
      <c r="G376" s="24"/>
      <c r="H376" s="35"/>
    </row>
    <row r="377" spans="1:8" ht="12.75" customHeight="1">
      <c r="A377" s="22">
        <v>43448</v>
      </c>
      <c r="B377" s="22"/>
      <c r="C377" s="25">
        <f>ROUND(14.97167015625,4)</f>
        <v>14.9717</v>
      </c>
      <c r="D377" s="25">
        <f>F377</f>
        <v>15.5684</v>
      </c>
      <c r="E377" s="25">
        <f>F377</f>
        <v>15.5684</v>
      </c>
      <c r="F377" s="25">
        <f>ROUND(15.5684,4)</f>
        <v>15.5684</v>
      </c>
      <c r="G377" s="24"/>
      <c r="H377" s="35"/>
    </row>
    <row r="378" spans="1:8" ht="12.75" customHeight="1">
      <c r="A378" s="22">
        <v>43542</v>
      </c>
      <c r="B378" s="22"/>
      <c r="C378" s="25">
        <f>ROUND(14.97167015625,4)</f>
        <v>14.9717</v>
      </c>
      <c r="D378" s="25">
        <f>F378</f>
        <v>15.8815</v>
      </c>
      <c r="E378" s="25">
        <f>F378</f>
        <v>15.8815</v>
      </c>
      <c r="F378" s="25">
        <f>ROUND(15.8815,4)</f>
        <v>15.8815</v>
      </c>
      <c r="G378" s="24"/>
      <c r="H378" s="35"/>
    </row>
    <row r="379" spans="1:8" ht="12.75" customHeight="1">
      <c r="A379" s="22">
        <v>43630</v>
      </c>
      <c r="B379" s="22"/>
      <c r="C379" s="25">
        <f>ROUND(14.97167015625,4)</f>
        <v>14.9717</v>
      </c>
      <c r="D379" s="25">
        <f>F379</f>
        <v>16.1716</v>
      </c>
      <c r="E379" s="25">
        <f>F379</f>
        <v>16.1716</v>
      </c>
      <c r="F379" s="25">
        <f>ROUND(16.1716,4)</f>
        <v>16.1716</v>
      </c>
      <c r="G379" s="24"/>
      <c r="H379" s="35"/>
    </row>
    <row r="380" spans="1:8" ht="12.75" customHeight="1">
      <c r="A380" s="22">
        <v>43724</v>
      </c>
      <c r="B380" s="22"/>
      <c r="C380" s="25">
        <f>ROUND(14.97167015625,4)</f>
        <v>14.9717</v>
      </c>
      <c r="D380" s="25">
        <f>F380</f>
        <v>16.4205</v>
      </c>
      <c r="E380" s="25">
        <f>F380</f>
        <v>16.4205</v>
      </c>
      <c r="F380" s="25">
        <f>ROUND(16.4205,4)</f>
        <v>16.4205</v>
      </c>
      <c r="G380" s="24"/>
      <c r="H380" s="35"/>
    </row>
    <row r="381" spans="1:8" ht="12.75" customHeight="1">
      <c r="A381" s="22">
        <v>43812</v>
      </c>
      <c r="B381" s="22"/>
      <c r="C381" s="25">
        <f>ROUND(14.97167015625,4)</f>
        <v>14.9717</v>
      </c>
      <c r="D381" s="25">
        <f>F381</f>
        <v>16.7776</v>
      </c>
      <c r="E381" s="25">
        <f>F381</f>
        <v>16.7776</v>
      </c>
      <c r="F381" s="25">
        <f>ROUND(16.7776,4)</f>
        <v>16.7776</v>
      </c>
      <c r="G381" s="24"/>
      <c r="H381" s="35"/>
    </row>
    <row r="382" spans="1:8" ht="12.75" customHeight="1">
      <c r="A382" s="22">
        <v>43906</v>
      </c>
      <c r="B382" s="22"/>
      <c r="C382" s="25">
        <f>ROUND(14.97167015625,4)</f>
        <v>14.9717</v>
      </c>
      <c r="D382" s="25">
        <f>F382</f>
        <v>17.1633</v>
      </c>
      <c r="E382" s="25">
        <f>F382</f>
        <v>17.1633</v>
      </c>
      <c r="F382" s="25">
        <f>ROUND(17.1633,4)</f>
        <v>17.1633</v>
      </c>
      <c r="G382" s="24"/>
      <c r="H382" s="35"/>
    </row>
    <row r="383" spans="1:8" ht="12.75" customHeight="1">
      <c r="A383" s="22" t="s">
        <v>78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ROUND(12.9021617781386,4)</f>
        <v>12.9022</v>
      </c>
      <c r="D384" s="25">
        <f>F384</f>
        <v>12.9291</v>
      </c>
      <c r="E384" s="25">
        <f>F384</f>
        <v>12.9291</v>
      </c>
      <c r="F384" s="25">
        <f>ROUND(12.9291,4)</f>
        <v>12.9291</v>
      </c>
      <c r="G384" s="24"/>
      <c r="H384" s="35"/>
    </row>
    <row r="385" spans="1:8" ht="12.75" customHeight="1">
      <c r="A385" s="22">
        <v>43360</v>
      </c>
      <c r="B385" s="22"/>
      <c r="C385" s="25">
        <f>ROUND(12.9021617781386,4)</f>
        <v>12.9022</v>
      </c>
      <c r="D385" s="25">
        <f>F385</f>
        <v>13.188</v>
      </c>
      <c r="E385" s="25">
        <f>F385</f>
        <v>13.188</v>
      </c>
      <c r="F385" s="25">
        <f>ROUND(13.188,4)</f>
        <v>13.188</v>
      </c>
      <c r="G385" s="24"/>
      <c r="H385" s="35"/>
    </row>
    <row r="386" spans="1:8" ht="12.75" customHeight="1">
      <c r="A386" s="22">
        <v>43448</v>
      </c>
      <c r="B386" s="22"/>
      <c r="C386" s="25">
        <f>ROUND(12.9021617781386,4)</f>
        <v>12.9022</v>
      </c>
      <c r="D386" s="25">
        <f>F386</f>
        <v>13.4447</v>
      </c>
      <c r="E386" s="25">
        <f>F386</f>
        <v>13.4447</v>
      </c>
      <c r="F386" s="25">
        <f>ROUND(13.4447,4)</f>
        <v>13.4447</v>
      </c>
      <c r="G386" s="24"/>
      <c r="H386" s="35"/>
    </row>
    <row r="387" spans="1:8" ht="12.75" customHeight="1">
      <c r="A387" s="22">
        <v>43542</v>
      </c>
      <c r="B387" s="22"/>
      <c r="C387" s="25">
        <f>ROUND(12.9021617781386,4)</f>
        <v>12.9022</v>
      </c>
      <c r="D387" s="25">
        <f>F387</f>
        <v>13.7304</v>
      </c>
      <c r="E387" s="25">
        <f>F387</f>
        <v>13.7304</v>
      </c>
      <c r="F387" s="25">
        <f>ROUND(13.7304,4)</f>
        <v>13.7304</v>
      </c>
      <c r="G387" s="24"/>
      <c r="H387" s="35"/>
    </row>
    <row r="388" spans="1:8" ht="12.75" customHeight="1">
      <c r="A388" s="22">
        <v>43630</v>
      </c>
      <c r="B388" s="22"/>
      <c r="C388" s="25">
        <f>ROUND(12.9021617781386,4)</f>
        <v>12.9022</v>
      </c>
      <c r="D388" s="25">
        <f>F388</f>
        <v>13.9938</v>
      </c>
      <c r="E388" s="25">
        <f>F388</f>
        <v>13.9938</v>
      </c>
      <c r="F388" s="25">
        <f>ROUND(13.9938,4)</f>
        <v>13.9938</v>
      </c>
      <c r="G388" s="24"/>
      <c r="H388" s="35"/>
    </row>
    <row r="389" spans="1:8" ht="12.75" customHeight="1">
      <c r="A389" s="22">
        <v>43724</v>
      </c>
      <c r="B389" s="22"/>
      <c r="C389" s="25">
        <f>ROUND(12.9021617781386,4)</f>
        <v>12.9022</v>
      </c>
      <c r="D389" s="25">
        <f>F389</f>
        <v>14.4879</v>
      </c>
      <c r="E389" s="25">
        <f>F389</f>
        <v>14.4879</v>
      </c>
      <c r="F389" s="25">
        <f>ROUND(14.4879,4)</f>
        <v>14.4879</v>
      </c>
      <c r="G389" s="24"/>
      <c r="H389" s="35"/>
    </row>
    <row r="390" spans="1:8" ht="12.75" customHeight="1">
      <c r="A390" s="22">
        <v>43812</v>
      </c>
      <c r="B390" s="22"/>
      <c r="C390" s="25">
        <f>ROUND(12.9021617781386,4)</f>
        <v>12.9022</v>
      </c>
      <c r="D390" s="25">
        <f>F390</f>
        <v>14.6902</v>
      </c>
      <c r="E390" s="25">
        <f>F390</f>
        <v>14.6902</v>
      </c>
      <c r="F390" s="25">
        <f>ROUND(14.6902,4)</f>
        <v>14.6902</v>
      </c>
      <c r="G390" s="24"/>
      <c r="H390" s="35"/>
    </row>
    <row r="391" spans="1:8" ht="12.75" customHeight="1">
      <c r="A391" s="22">
        <v>43906</v>
      </c>
      <c r="B391" s="22"/>
      <c r="C391" s="25">
        <f>ROUND(12.9021617781386,4)</f>
        <v>12.9022</v>
      </c>
      <c r="D391" s="25">
        <f>F391</f>
        <v>14.9676</v>
      </c>
      <c r="E391" s="25">
        <f>F391</f>
        <v>14.9676</v>
      </c>
      <c r="F391" s="25">
        <f>ROUND(14.9676,4)</f>
        <v>14.9676</v>
      </c>
      <c r="G391" s="24"/>
      <c r="H391" s="35"/>
    </row>
    <row r="392" spans="1:8" ht="12.75" customHeight="1">
      <c r="A392" s="22" t="s">
        <v>79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5">
        <f>ROUND(17.07161625,4)</f>
        <v>17.0716</v>
      </c>
      <c r="D393" s="25">
        <f>F393</f>
        <v>17.101</v>
      </c>
      <c r="E393" s="25">
        <f>F393</f>
        <v>17.101</v>
      </c>
      <c r="F393" s="25">
        <f>ROUND(17.101,4)</f>
        <v>17.101</v>
      </c>
      <c r="G393" s="24"/>
      <c r="H393" s="35"/>
    </row>
    <row r="394" spans="1:8" ht="12.75" customHeight="1">
      <c r="A394" s="22">
        <v>43360</v>
      </c>
      <c r="B394" s="22"/>
      <c r="C394" s="25">
        <f>ROUND(17.07161625,4)</f>
        <v>17.0716</v>
      </c>
      <c r="D394" s="25">
        <f>F394</f>
        <v>17.3777</v>
      </c>
      <c r="E394" s="25">
        <f>F394</f>
        <v>17.3777</v>
      </c>
      <c r="F394" s="25">
        <f>ROUND(17.3777,4)</f>
        <v>17.3777</v>
      </c>
      <c r="G394" s="24"/>
      <c r="H394" s="35"/>
    </row>
    <row r="395" spans="1:8" ht="12.75" customHeight="1">
      <c r="A395" s="22">
        <v>43448</v>
      </c>
      <c r="B395" s="22"/>
      <c r="C395" s="25">
        <f>ROUND(17.07161625,4)</f>
        <v>17.0716</v>
      </c>
      <c r="D395" s="25">
        <f>F395</f>
        <v>17.6442</v>
      </c>
      <c r="E395" s="25">
        <f>F395</f>
        <v>17.6442</v>
      </c>
      <c r="F395" s="25">
        <f>ROUND(17.6442,4)</f>
        <v>17.6442</v>
      </c>
      <c r="G395" s="24"/>
      <c r="H395" s="35"/>
    </row>
    <row r="396" spans="1:8" ht="12.75" customHeight="1">
      <c r="A396" s="22">
        <v>43542</v>
      </c>
      <c r="B396" s="22"/>
      <c r="C396" s="25">
        <f>ROUND(17.07161625,4)</f>
        <v>17.0716</v>
      </c>
      <c r="D396" s="25">
        <f>F396</f>
        <v>17.9346</v>
      </c>
      <c r="E396" s="25">
        <f>F396</f>
        <v>17.9346</v>
      </c>
      <c r="F396" s="25">
        <f>ROUND(17.9346,4)</f>
        <v>17.9346</v>
      </c>
      <c r="G396" s="24"/>
      <c r="H396" s="35"/>
    </row>
    <row r="397" spans="1:8" ht="12.75" customHeight="1">
      <c r="A397" s="22">
        <v>43630</v>
      </c>
      <c r="B397" s="22"/>
      <c r="C397" s="25">
        <f>ROUND(17.07161625,4)</f>
        <v>17.0716</v>
      </c>
      <c r="D397" s="25">
        <f>F397</f>
        <v>18.2055</v>
      </c>
      <c r="E397" s="25">
        <f>F397</f>
        <v>18.2055</v>
      </c>
      <c r="F397" s="25">
        <f>ROUND(18.2055,4)</f>
        <v>18.2055</v>
      </c>
      <c r="G397" s="24"/>
      <c r="H397" s="35"/>
    </row>
    <row r="398" spans="1:8" ht="12.75" customHeight="1">
      <c r="A398" s="22">
        <v>43724</v>
      </c>
      <c r="B398" s="22"/>
      <c r="C398" s="25">
        <f>ROUND(17.07161625,4)</f>
        <v>17.0716</v>
      </c>
      <c r="D398" s="25">
        <f>F398</f>
        <v>18.4882</v>
      </c>
      <c r="E398" s="25">
        <f>F398</f>
        <v>18.4882</v>
      </c>
      <c r="F398" s="25">
        <f>ROUND(18.4882,4)</f>
        <v>18.4882</v>
      </c>
      <c r="G398" s="24"/>
      <c r="H398" s="35"/>
    </row>
    <row r="399" spans="1:8" ht="12.75" customHeight="1">
      <c r="A399" s="22">
        <v>43812</v>
      </c>
      <c r="B399" s="22"/>
      <c r="C399" s="25">
        <f>ROUND(17.07161625,4)</f>
        <v>17.0716</v>
      </c>
      <c r="D399" s="25">
        <f>F399</f>
        <v>18.5748</v>
      </c>
      <c r="E399" s="25">
        <f>F399</f>
        <v>18.5748</v>
      </c>
      <c r="F399" s="25">
        <f>ROUND(18.5748,4)</f>
        <v>18.5748</v>
      </c>
      <c r="G399" s="24"/>
      <c r="H399" s="35"/>
    </row>
    <row r="400" spans="1:8" ht="12.75" customHeight="1">
      <c r="A400" s="22">
        <v>43906</v>
      </c>
      <c r="B400" s="22"/>
      <c r="C400" s="25">
        <f>ROUND(17.07161625,4)</f>
        <v>17.0716</v>
      </c>
      <c r="D400" s="25">
        <f>F400</f>
        <v>19.035</v>
      </c>
      <c r="E400" s="25">
        <f>F400</f>
        <v>19.035</v>
      </c>
      <c r="F400" s="25">
        <f>ROUND(19.035,4)</f>
        <v>19.035</v>
      </c>
      <c r="G400" s="24"/>
      <c r="H400" s="35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ROUND(1.61996329994648,4)</f>
        <v>1.62</v>
      </c>
      <c r="D402" s="25">
        <f>F402</f>
        <v>1.6225</v>
      </c>
      <c r="E402" s="25">
        <f>F402</f>
        <v>1.6225</v>
      </c>
      <c r="F402" s="25">
        <f>ROUND(1.6225,4)</f>
        <v>1.6225</v>
      </c>
      <c r="G402" s="24"/>
      <c r="H402" s="35"/>
    </row>
    <row r="403" spans="1:8" ht="12.75" customHeight="1">
      <c r="A403" s="22">
        <v>43360</v>
      </c>
      <c r="B403" s="22"/>
      <c r="C403" s="25">
        <f>ROUND(1.61996329994648,4)</f>
        <v>1.62</v>
      </c>
      <c r="D403" s="25">
        <f>F403</f>
        <v>1.6445</v>
      </c>
      <c r="E403" s="25">
        <f>F403</f>
        <v>1.6445</v>
      </c>
      <c r="F403" s="25">
        <f>ROUND(1.6445,4)</f>
        <v>1.6445</v>
      </c>
      <c r="G403" s="24"/>
      <c r="H403" s="35"/>
    </row>
    <row r="404" spans="1:8" ht="12.75" customHeight="1">
      <c r="A404" s="22">
        <v>43448</v>
      </c>
      <c r="B404" s="22"/>
      <c r="C404" s="25">
        <f>ROUND(1.61996329994648,4)</f>
        <v>1.62</v>
      </c>
      <c r="D404" s="25">
        <f>F404</f>
        <v>1.6652</v>
      </c>
      <c r="E404" s="25">
        <f>F404</f>
        <v>1.6652</v>
      </c>
      <c r="F404" s="25">
        <f>ROUND(1.6652,4)</f>
        <v>1.6652</v>
      </c>
      <c r="G404" s="24"/>
      <c r="H404" s="35"/>
    </row>
    <row r="405" spans="1:8" ht="12.75" customHeight="1">
      <c r="A405" s="22">
        <v>43542</v>
      </c>
      <c r="B405" s="22"/>
      <c r="C405" s="25">
        <f>ROUND(1.61996329994648,4)</f>
        <v>1.62</v>
      </c>
      <c r="D405" s="25">
        <f>F405</f>
        <v>1.6866</v>
      </c>
      <c r="E405" s="25">
        <f>F405</f>
        <v>1.6866</v>
      </c>
      <c r="F405" s="25">
        <f>ROUND(1.6866,4)</f>
        <v>1.6866</v>
      </c>
      <c r="G405" s="24"/>
      <c r="H405" s="35"/>
    </row>
    <row r="406" spans="1:8" ht="12.75" customHeight="1">
      <c r="A406" s="22">
        <v>43630</v>
      </c>
      <c r="B406" s="22"/>
      <c r="C406" s="25">
        <f>ROUND(1.61996329994648,4)</f>
        <v>1.62</v>
      </c>
      <c r="D406" s="25">
        <f>F406</f>
        <v>1.7581</v>
      </c>
      <c r="E406" s="25">
        <f>F406</f>
        <v>1.7581</v>
      </c>
      <c r="F406" s="25">
        <f>ROUND(1.7581,4)</f>
        <v>1.7581</v>
      </c>
      <c r="G406" s="24"/>
      <c r="H406" s="35"/>
    </row>
    <row r="407" spans="1:8" ht="12.75" customHeight="1">
      <c r="A407" s="22">
        <v>43724</v>
      </c>
      <c r="B407" s="22"/>
      <c r="C407" s="25">
        <f>ROUND(1.61996329994648,4)</f>
        <v>1.62</v>
      </c>
      <c r="D407" s="25">
        <f>F407</f>
        <v>1.7766</v>
      </c>
      <c r="E407" s="25">
        <f>F407</f>
        <v>1.7766</v>
      </c>
      <c r="F407" s="25">
        <f>ROUND(1.7766,4)</f>
        <v>1.7766</v>
      </c>
      <c r="G407" s="24"/>
      <c r="H407" s="35"/>
    </row>
    <row r="408" spans="1:8" ht="12.75" customHeight="1">
      <c r="A408" s="22">
        <v>43812</v>
      </c>
      <c r="B408" s="22"/>
      <c r="C408" s="25">
        <f>ROUND(1.61996329994648,4)</f>
        <v>1.62</v>
      </c>
      <c r="D408" s="25">
        <f>F408</f>
        <v>1.8033</v>
      </c>
      <c r="E408" s="25">
        <f>F408</f>
        <v>1.8033</v>
      </c>
      <c r="F408" s="25">
        <f>ROUND(1.8033,4)</f>
        <v>1.8033</v>
      </c>
      <c r="G408" s="24"/>
      <c r="H408" s="35"/>
    </row>
    <row r="409" spans="1:8" ht="12.75" customHeight="1">
      <c r="A409" s="22">
        <v>43906</v>
      </c>
      <c r="B409" s="22"/>
      <c r="C409" s="25">
        <f>ROUND(1.61996329994648,4)</f>
        <v>1.62</v>
      </c>
      <c r="D409" s="25">
        <f>F409</f>
        <v>1.8293</v>
      </c>
      <c r="E409" s="25">
        <f>F409</f>
        <v>1.8293</v>
      </c>
      <c r="F409" s="25">
        <f>ROUND(1.8293,4)</f>
        <v>1.8293</v>
      </c>
      <c r="G409" s="24"/>
      <c r="H409" s="35"/>
    </row>
    <row r="410" spans="1:8" ht="12.75" customHeight="1">
      <c r="A410" s="22" t="s">
        <v>81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8">
        <f>ROUND(0.115545422871253,6)</f>
        <v>0.115545</v>
      </c>
      <c r="D411" s="28">
        <f>F411</f>
        <v>0.115765</v>
      </c>
      <c r="E411" s="28">
        <f>F411</f>
        <v>0.115765</v>
      </c>
      <c r="F411" s="28">
        <f>ROUND(0.115765,6)</f>
        <v>0.115765</v>
      </c>
      <c r="G411" s="24"/>
      <c r="H411" s="35"/>
    </row>
    <row r="412" spans="1:8" ht="12.75" customHeight="1">
      <c r="A412" s="22">
        <v>43360</v>
      </c>
      <c r="B412" s="22"/>
      <c r="C412" s="28">
        <f>ROUND(0.115545422871253,6)</f>
        <v>0.115545</v>
      </c>
      <c r="D412" s="28">
        <f>F412</f>
        <v>0.117887</v>
      </c>
      <c r="E412" s="28">
        <f>F412</f>
        <v>0.117887</v>
      </c>
      <c r="F412" s="28">
        <f>ROUND(0.117887,6)</f>
        <v>0.117887</v>
      </c>
      <c r="G412" s="24"/>
      <c r="H412" s="35"/>
    </row>
    <row r="413" spans="1:8" ht="12.75" customHeight="1">
      <c r="A413" s="22">
        <v>43448</v>
      </c>
      <c r="B413" s="22"/>
      <c r="C413" s="28">
        <f>ROUND(0.115545422871253,6)</f>
        <v>0.115545</v>
      </c>
      <c r="D413" s="28">
        <f>F413</f>
        <v>0.120003</v>
      </c>
      <c r="E413" s="28">
        <f>F413</f>
        <v>0.120003</v>
      </c>
      <c r="F413" s="28">
        <f>ROUND(0.120003,6)</f>
        <v>0.120003</v>
      </c>
      <c r="G413" s="24"/>
      <c r="H413" s="35"/>
    </row>
    <row r="414" spans="1:8" ht="12.75" customHeight="1">
      <c r="A414" s="22">
        <v>43542</v>
      </c>
      <c r="B414" s="22"/>
      <c r="C414" s="28">
        <f>ROUND(0.115545422871253,6)</f>
        <v>0.115545</v>
      </c>
      <c r="D414" s="28">
        <f>F414</f>
        <v>0.122384</v>
      </c>
      <c r="E414" s="28">
        <f>F414</f>
        <v>0.122384</v>
      </c>
      <c r="F414" s="28">
        <f>ROUND(0.122384,6)</f>
        <v>0.122384</v>
      </c>
      <c r="G414" s="24"/>
      <c r="H414" s="35"/>
    </row>
    <row r="415" spans="1:8" ht="12.75" customHeight="1">
      <c r="A415" s="22">
        <v>43630</v>
      </c>
      <c r="B415" s="22"/>
      <c r="C415" s="28">
        <f>ROUND(0.115545422871253,6)</f>
        <v>0.115545</v>
      </c>
      <c r="D415" s="28">
        <f>F415</f>
        <v>0.124602</v>
      </c>
      <c r="E415" s="28">
        <f>F415</f>
        <v>0.124602</v>
      </c>
      <c r="F415" s="28">
        <f>ROUND(0.124602,6)</f>
        <v>0.124602</v>
      </c>
      <c r="G415" s="24"/>
      <c r="H415" s="35"/>
    </row>
    <row r="416" spans="1:8" ht="12.75" customHeight="1">
      <c r="A416" s="22">
        <v>43724</v>
      </c>
      <c r="B416" s="22"/>
      <c r="C416" s="28">
        <f>ROUND(0.115545422871253,6)</f>
        <v>0.115545</v>
      </c>
      <c r="D416" s="28">
        <f>F416</f>
        <v>0.129486</v>
      </c>
      <c r="E416" s="28">
        <f>F416</f>
        <v>0.129486</v>
      </c>
      <c r="F416" s="28">
        <f>ROUND(0.129486,6)</f>
        <v>0.129486</v>
      </c>
      <c r="G416" s="24"/>
      <c r="H416" s="35"/>
    </row>
    <row r="417" spans="1:8" ht="12.75" customHeight="1">
      <c r="A417" s="22">
        <v>43812</v>
      </c>
      <c r="B417" s="22"/>
      <c r="C417" s="28">
        <f>ROUND(0.115545422871253,6)</f>
        <v>0.115545</v>
      </c>
      <c r="D417" s="28">
        <f>F417</f>
        <v>0.13173</v>
      </c>
      <c r="E417" s="28">
        <f>F417</f>
        <v>0.13173</v>
      </c>
      <c r="F417" s="28">
        <f>ROUND(0.13173,6)</f>
        <v>0.13173</v>
      </c>
      <c r="G417" s="24"/>
      <c r="H417" s="35"/>
    </row>
    <row r="418" spans="1:8" ht="12.75" customHeight="1">
      <c r="A418" s="22">
        <v>43906</v>
      </c>
      <c r="B418" s="22"/>
      <c r="C418" s="28">
        <f>ROUND(0.115545422871253,6)</f>
        <v>0.115545</v>
      </c>
      <c r="D418" s="28">
        <f>F418</f>
        <v>0.13362</v>
      </c>
      <c r="E418" s="28">
        <f>F418</f>
        <v>0.13362</v>
      </c>
      <c r="F418" s="28">
        <f>ROUND(0.13362,6)</f>
        <v>0.13362</v>
      </c>
      <c r="G418" s="24"/>
      <c r="H418" s="35"/>
    </row>
    <row r="419" spans="1:8" ht="12.75" customHeight="1">
      <c r="A419" s="22" t="s">
        <v>82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5">
        <f>ROUND(0.125853875853876,4)</f>
        <v>0.1259</v>
      </c>
      <c r="D420" s="25">
        <f>F420</f>
        <v>0.1258</v>
      </c>
      <c r="E420" s="25">
        <f>F420</f>
        <v>0.1258</v>
      </c>
      <c r="F420" s="25">
        <f>ROUND(0.1258,4)</f>
        <v>0.1258</v>
      </c>
      <c r="G420" s="24"/>
      <c r="H420" s="35"/>
    </row>
    <row r="421" spans="1:8" ht="12.75" customHeight="1">
      <c r="A421" s="22">
        <v>43360</v>
      </c>
      <c r="B421" s="22"/>
      <c r="C421" s="25">
        <f>ROUND(0.125853875853876,4)</f>
        <v>0.1259</v>
      </c>
      <c r="D421" s="25">
        <f>F421</f>
        <v>0.1252</v>
      </c>
      <c r="E421" s="25">
        <f>F421</f>
        <v>0.1252</v>
      </c>
      <c r="F421" s="25">
        <f>ROUND(0.1252,4)</f>
        <v>0.1252</v>
      </c>
      <c r="G421" s="24"/>
      <c r="H421" s="35"/>
    </row>
    <row r="422" spans="1:8" ht="12.75" customHeight="1">
      <c r="A422" s="22">
        <v>43448</v>
      </c>
      <c r="B422" s="22"/>
      <c r="C422" s="25">
        <f>ROUND(0.125853875853876,4)</f>
        <v>0.1259</v>
      </c>
      <c r="D422" s="25">
        <f>F422</f>
        <v>0.1247</v>
      </c>
      <c r="E422" s="25">
        <f>F422</f>
        <v>0.1247</v>
      </c>
      <c r="F422" s="25">
        <f>ROUND(0.1247,4)</f>
        <v>0.1247</v>
      </c>
      <c r="G422" s="24"/>
      <c r="H422" s="35"/>
    </row>
    <row r="423" spans="1:8" ht="12.75" customHeight="1">
      <c r="A423" s="22">
        <v>43542</v>
      </c>
      <c r="B423" s="22"/>
      <c r="C423" s="25">
        <f>ROUND(0.125853875853876,4)</f>
        <v>0.1259</v>
      </c>
      <c r="D423" s="25">
        <f>F423</f>
        <v>0.1233</v>
      </c>
      <c r="E423" s="25">
        <f>F423</f>
        <v>0.1233</v>
      </c>
      <c r="F423" s="25">
        <f>ROUND(0.1233,4)</f>
        <v>0.1233</v>
      </c>
      <c r="G423" s="24"/>
      <c r="H423" s="35"/>
    </row>
    <row r="424" spans="1:8" ht="12.75" customHeight="1">
      <c r="A424" s="22">
        <v>43630</v>
      </c>
      <c r="B424" s="22"/>
      <c r="C424" s="25">
        <f>ROUND(0.125853875853876,4)</f>
        <v>0.1259</v>
      </c>
      <c r="D424" s="25">
        <f>F424</f>
        <v>0.1235</v>
      </c>
      <c r="E424" s="25">
        <f>F424</f>
        <v>0.1235</v>
      </c>
      <c r="F424" s="25">
        <f>ROUND(0.1235,4)</f>
        <v>0.1235</v>
      </c>
      <c r="G424" s="24"/>
      <c r="H424" s="35"/>
    </row>
    <row r="425" spans="1:8" ht="12.75" customHeight="1">
      <c r="A425" s="22">
        <v>43724</v>
      </c>
      <c r="B425" s="22"/>
      <c r="C425" s="25">
        <f>ROUND(0.125853875853876,4)</f>
        <v>0.1259</v>
      </c>
      <c r="D425" s="25">
        <f>F425</f>
        <v>0.1236</v>
      </c>
      <c r="E425" s="25">
        <f>F425</f>
        <v>0.1236</v>
      </c>
      <c r="F425" s="25">
        <f>ROUND(0.1236,4)</f>
        <v>0.1236</v>
      </c>
      <c r="G425" s="24"/>
      <c r="H425" s="35"/>
    </row>
    <row r="426" spans="1:8" ht="12.75" customHeight="1">
      <c r="A426" s="22" t="s">
        <v>83</v>
      </c>
      <c r="B426" s="22"/>
      <c r="C426" s="23"/>
      <c r="D426" s="23"/>
      <c r="E426" s="23"/>
      <c r="F426" s="23"/>
      <c r="G426" s="24"/>
      <c r="H426" s="35"/>
    </row>
    <row r="427" spans="1:8" ht="12.75" customHeight="1">
      <c r="A427" s="22">
        <v>43269</v>
      </c>
      <c r="B427" s="22"/>
      <c r="C427" s="25">
        <f>ROUND(1.57216176106851,4)</f>
        <v>1.5722</v>
      </c>
      <c r="D427" s="25">
        <f>F427</f>
        <v>1.5758</v>
      </c>
      <c r="E427" s="25">
        <f>F427</f>
        <v>1.5758</v>
      </c>
      <c r="F427" s="25">
        <f>ROUND(1.5758,4)</f>
        <v>1.5758</v>
      </c>
      <c r="G427" s="24"/>
      <c r="H427" s="35"/>
    </row>
    <row r="428" spans="1:8" ht="12.75" customHeight="1">
      <c r="A428" s="22">
        <v>43360</v>
      </c>
      <c r="B428" s="22"/>
      <c r="C428" s="25">
        <f>ROUND(1.57216176106851,4)</f>
        <v>1.5722</v>
      </c>
      <c r="D428" s="25">
        <f>F428</f>
        <v>1.6002</v>
      </c>
      <c r="E428" s="25">
        <f>F428</f>
        <v>1.6002</v>
      </c>
      <c r="F428" s="25">
        <f>ROUND(1.6002,4)</f>
        <v>1.6002</v>
      </c>
      <c r="G428" s="24"/>
      <c r="H428" s="35"/>
    </row>
    <row r="429" spans="1:8" ht="12.75" customHeight="1">
      <c r="A429" s="22">
        <v>43448</v>
      </c>
      <c r="B429" s="22"/>
      <c r="C429" s="25">
        <f>ROUND(1.57216176106851,4)</f>
        <v>1.5722</v>
      </c>
      <c r="D429" s="25">
        <f>F429</f>
        <v>1.6241</v>
      </c>
      <c r="E429" s="25">
        <f>F429</f>
        <v>1.6241</v>
      </c>
      <c r="F429" s="25">
        <f>ROUND(1.6241,4)</f>
        <v>1.6241</v>
      </c>
      <c r="G429" s="24"/>
      <c r="H429" s="35"/>
    </row>
    <row r="430" spans="1:8" ht="12.75" customHeight="1">
      <c r="A430" s="22">
        <v>43542</v>
      </c>
      <c r="B430" s="22"/>
      <c r="C430" s="25">
        <f>ROUND(1.57216176106851,4)</f>
        <v>1.5722</v>
      </c>
      <c r="D430" s="25">
        <f>F430</f>
        <v>1.6497</v>
      </c>
      <c r="E430" s="25">
        <f>F430</f>
        <v>1.6497</v>
      </c>
      <c r="F430" s="25">
        <f>ROUND(1.6497,4)</f>
        <v>1.6497</v>
      </c>
      <c r="G430" s="24"/>
      <c r="H430" s="35"/>
    </row>
    <row r="431" spans="1:8" ht="12.75" customHeight="1">
      <c r="A431" s="22">
        <v>43630</v>
      </c>
      <c r="B431" s="22"/>
      <c r="C431" s="25">
        <f>ROUND(1.57216176106851,4)</f>
        <v>1.5722</v>
      </c>
      <c r="D431" s="25">
        <f>F431</f>
        <v>1.6725</v>
      </c>
      <c r="E431" s="25">
        <f>F431</f>
        <v>1.6725</v>
      </c>
      <c r="F431" s="25">
        <f>ROUND(1.6725,4)</f>
        <v>1.6725</v>
      </c>
      <c r="G431" s="24"/>
      <c r="H431" s="35"/>
    </row>
    <row r="432" spans="1:8" ht="12.75" customHeight="1">
      <c r="A432" s="22">
        <v>43724</v>
      </c>
      <c r="B432" s="22"/>
      <c r="C432" s="25">
        <f>ROUND(1.57216176106851,4)</f>
        <v>1.5722</v>
      </c>
      <c r="D432" s="25">
        <f>F432</f>
        <v>1.695</v>
      </c>
      <c r="E432" s="25">
        <f>F432</f>
        <v>1.695</v>
      </c>
      <c r="F432" s="25">
        <f>ROUND(1.695,4)</f>
        <v>1.695</v>
      </c>
      <c r="G432" s="24"/>
      <c r="H432" s="35"/>
    </row>
    <row r="433" spans="1:8" ht="12.75" customHeight="1">
      <c r="A433" s="22">
        <v>43812</v>
      </c>
      <c r="B433" s="22"/>
      <c r="C433" s="25">
        <f>ROUND(1.57216176106851,4)</f>
        <v>1.5722</v>
      </c>
      <c r="D433" s="25">
        <f>F433</f>
        <v>1.721</v>
      </c>
      <c r="E433" s="25">
        <f>F433</f>
        <v>1.721</v>
      </c>
      <c r="F433" s="25">
        <f>ROUND(1.721,4)</f>
        <v>1.721</v>
      </c>
      <c r="G433" s="24"/>
      <c r="H433" s="35"/>
    </row>
    <row r="434" spans="1:8" ht="12.75" customHeight="1">
      <c r="A434" s="22">
        <v>43906</v>
      </c>
      <c r="B434" s="22"/>
      <c r="C434" s="25">
        <f>ROUND(1.57216176106851,4)</f>
        <v>1.5722</v>
      </c>
      <c r="D434" s="25">
        <f>F434</f>
        <v>1.7491</v>
      </c>
      <c r="E434" s="25">
        <f>F434</f>
        <v>1.7491</v>
      </c>
      <c r="F434" s="25">
        <f>ROUND(1.7491,4)</f>
        <v>1.7491</v>
      </c>
      <c r="G434" s="24"/>
      <c r="H434" s="35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ROUND(8.944515,4)</f>
        <v>8.9445</v>
      </c>
      <c r="D436" s="25">
        <f>F436</f>
        <v>8.9563</v>
      </c>
      <c r="E436" s="25">
        <f>F436</f>
        <v>8.9563</v>
      </c>
      <c r="F436" s="25">
        <f>ROUND(8.9563,4)</f>
        <v>8.9563</v>
      </c>
      <c r="G436" s="24"/>
      <c r="H436" s="35"/>
    </row>
    <row r="437" spans="1:8" ht="12.75" customHeight="1">
      <c r="A437" s="22">
        <v>43360</v>
      </c>
      <c r="B437" s="22"/>
      <c r="C437" s="25">
        <f>ROUND(8.944515,4)</f>
        <v>8.9445</v>
      </c>
      <c r="D437" s="25">
        <f>F437</f>
        <v>9.0639</v>
      </c>
      <c r="E437" s="25">
        <f>F437</f>
        <v>9.0639</v>
      </c>
      <c r="F437" s="25">
        <f>ROUND(9.0639,4)</f>
        <v>9.0639</v>
      </c>
      <c r="G437" s="24"/>
      <c r="H437" s="35"/>
    </row>
    <row r="438" spans="1:8" ht="12.75" customHeight="1">
      <c r="A438" s="22">
        <v>43448</v>
      </c>
      <c r="B438" s="22"/>
      <c r="C438" s="25">
        <f>ROUND(8.944515,4)</f>
        <v>8.9445</v>
      </c>
      <c r="D438" s="25">
        <f>F438</f>
        <v>9.1697</v>
      </c>
      <c r="E438" s="25">
        <f>F438</f>
        <v>9.1697</v>
      </c>
      <c r="F438" s="25">
        <f>ROUND(9.1697,4)</f>
        <v>9.1697</v>
      </c>
      <c r="G438" s="24"/>
      <c r="H438" s="35"/>
    </row>
    <row r="439" spans="1:8" ht="12.75" customHeight="1">
      <c r="A439" s="22">
        <v>43542</v>
      </c>
      <c r="B439" s="22"/>
      <c r="C439" s="25">
        <f>ROUND(8.944515,4)</f>
        <v>8.9445</v>
      </c>
      <c r="D439" s="25">
        <f>F439</f>
        <v>9.2834</v>
      </c>
      <c r="E439" s="25">
        <f>F439</f>
        <v>9.2834</v>
      </c>
      <c r="F439" s="25">
        <f>ROUND(9.2834,4)</f>
        <v>9.2834</v>
      </c>
      <c r="G439" s="24"/>
      <c r="H439" s="35"/>
    </row>
    <row r="440" spans="1:8" ht="12.75" customHeight="1">
      <c r="A440" s="22">
        <v>43630</v>
      </c>
      <c r="B440" s="22"/>
      <c r="C440" s="25">
        <f>ROUND(8.944515,4)</f>
        <v>8.9445</v>
      </c>
      <c r="D440" s="25">
        <f>F440</f>
        <v>9.6788</v>
      </c>
      <c r="E440" s="25">
        <f>F440</f>
        <v>9.6788</v>
      </c>
      <c r="F440" s="25">
        <f>ROUND(9.6788,4)</f>
        <v>9.6788</v>
      </c>
      <c r="G440" s="24"/>
      <c r="H440" s="35"/>
    </row>
    <row r="441" spans="1:8" ht="12.75" customHeight="1">
      <c r="A441" s="22">
        <v>43724</v>
      </c>
      <c r="B441" s="22"/>
      <c r="C441" s="25">
        <f>ROUND(8.944515,4)</f>
        <v>8.9445</v>
      </c>
      <c r="D441" s="25">
        <f>F441</f>
        <v>9.7833</v>
      </c>
      <c r="E441" s="25">
        <f>F441</f>
        <v>9.7833</v>
      </c>
      <c r="F441" s="25">
        <f>ROUND(9.7833,4)</f>
        <v>9.7833</v>
      </c>
      <c r="G441" s="24"/>
      <c r="H441" s="35"/>
    </row>
    <row r="442" spans="1:8" ht="12.75" customHeight="1">
      <c r="A442" s="22">
        <v>43812</v>
      </c>
      <c r="B442" s="22"/>
      <c r="C442" s="25">
        <f>ROUND(8.944515,4)</f>
        <v>8.9445</v>
      </c>
      <c r="D442" s="25">
        <f>F442</f>
        <v>9.9332</v>
      </c>
      <c r="E442" s="25">
        <f>F442</f>
        <v>9.9332</v>
      </c>
      <c r="F442" s="25">
        <f>ROUND(9.9332,4)</f>
        <v>9.9332</v>
      </c>
      <c r="G442" s="24"/>
      <c r="H442" s="35"/>
    </row>
    <row r="443" spans="1:8" ht="12.75" customHeight="1">
      <c r="A443" s="22">
        <v>43906</v>
      </c>
      <c r="B443" s="22"/>
      <c r="C443" s="25">
        <f>ROUND(8.944515,4)</f>
        <v>8.9445</v>
      </c>
      <c r="D443" s="25">
        <f>F443</f>
        <v>10.0796</v>
      </c>
      <c r="E443" s="25">
        <f>F443</f>
        <v>10.0796</v>
      </c>
      <c r="F443" s="25">
        <f>ROUND(10.0796,4)</f>
        <v>10.0796</v>
      </c>
      <c r="G443" s="24"/>
      <c r="H443" s="35"/>
    </row>
    <row r="444" spans="1:8" ht="12.75" customHeight="1">
      <c r="A444" s="22" t="s">
        <v>85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ROUND(9.54427718758212,4)</f>
        <v>9.5443</v>
      </c>
      <c r="D445" s="25">
        <f>F445</f>
        <v>9.5583</v>
      </c>
      <c r="E445" s="25">
        <f>F445</f>
        <v>9.5583</v>
      </c>
      <c r="F445" s="25">
        <f>ROUND(9.5583,4)</f>
        <v>9.5583</v>
      </c>
      <c r="G445" s="24"/>
      <c r="H445" s="35"/>
    </row>
    <row r="446" spans="1:8" ht="12.75" customHeight="1">
      <c r="A446" s="22">
        <v>43360</v>
      </c>
      <c r="B446" s="22"/>
      <c r="C446" s="25">
        <f>ROUND(9.54427718758212,4)</f>
        <v>9.5443</v>
      </c>
      <c r="D446" s="25">
        <f>F446</f>
        <v>9.6897</v>
      </c>
      <c r="E446" s="25">
        <f>F446</f>
        <v>9.6897</v>
      </c>
      <c r="F446" s="25">
        <f>ROUND(9.6897,4)</f>
        <v>9.6897</v>
      </c>
      <c r="G446" s="24"/>
      <c r="H446" s="35"/>
    </row>
    <row r="447" spans="1:8" ht="12.75" customHeight="1">
      <c r="A447" s="22">
        <v>43448</v>
      </c>
      <c r="B447" s="22"/>
      <c r="C447" s="25">
        <f>ROUND(9.54427718758212,4)</f>
        <v>9.5443</v>
      </c>
      <c r="D447" s="25">
        <f>F447</f>
        <v>9.8187</v>
      </c>
      <c r="E447" s="25">
        <f>F447</f>
        <v>9.8187</v>
      </c>
      <c r="F447" s="25">
        <f>ROUND(9.8187,4)</f>
        <v>9.8187</v>
      </c>
      <c r="G447" s="24"/>
      <c r="H447" s="35"/>
    </row>
    <row r="448" spans="1:8" ht="12.75" customHeight="1">
      <c r="A448" s="22">
        <v>43542</v>
      </c>
      <c r="B448" s="22"/>
      <c r="C448" s="25">
        <f>ROUND(9.54427718758212,4)</f>
        <v>9.5443</v>
      </c>
      <c r="D448" s="25">
        <f>F448</f>
        <v>9.953</v>
      </c>
      <c r="E448" s="25">
        <f>F448</f>
        <v>9.953</v>
      </c>
      <c r="F448" s="25">
        <f>ROUND(9.953,4)</f>
        <v>9.953</v>
      </c>
      <c r="G448" s="24"/>
      <c r="H448" s="35"/>
    </row>
    <row r="449" spans="1:8" ht="12.75" customHeight="1">
      <c r="A449" s="22">
        <v>43630</v>
      </c>
      <c r="B449" s="22"/>
      <c r="C449" s="25">
        <f>ROUND(9.54427718758212,4)</f>
        <v>9.5443</v>
      </c>
      <c r="D449" s="25">
        <f>F449</f>
        <v>10.3864</v>
      </c>
      <c r="E449" s="25">
        <f>F449</f>
        <v>10.3864</v>
      </c>
      <c r="F449" s="25">
        <f>ROUND(10.3864,4)</f>
        <v>10.3864</v>
      </c>
      <c r="G449" s="24"/>
      <c r="H449" s="35"/>
    </row>
    <row r="450" spans="1:8" ht="12.75" customHeight="1">
      <c r="A450" s="22">
        <v>43724</v>
      </c>
      <c r="B450" s="22"/>
      <c r="C450" s="25">
        <f>ROUND(9.54427718758212,4)</f>
        <v>9.5443</v>
      </c>
      <c r="D450" s="25">
        <f>F450</f>
        <v>10.5022</v>
      </c>
      <c r="E450" s="25">
        <f>F450</f>
        <v>10.5022</v>
      </c>
      <c r="F450" s="25">
        <f>ROUND(10.5022,4)</f>
        <v>10.5022</v>
      </c>
      <c r="G450" s="24"/>
      <c r="H450" s="35"/>
    </row>
    <row r="451" spans="1:8" ht="12.75" customHeight="1">
      <c r="A451" s="22">
        <v>43812</v>
      </c>
      <c r="B451" s="22"/>
      <c r="C451" s="25">
        <f>ROUND(9.54427718758212,4)</f>
        <v>9.5443</v>
      </c>
      <c r="D451" s="25">
        <f>F451</f>
        <v>10.6657</v>
      </c>
      <c r="E451" s="25">
        <f>F451</f>
        <v>10.6657</v>
      </c>
      <c r="F451" s="25">
        <f>ROUND(10.6657,4)</f>
        <v>10.6657</v>
      </c>
      <c r="G451" s="24"/>
      <c r="H451" s="35"/>
    </row>
    <row r="452" spans="1:8" ht="12.75" customHeight="1">
      <c r="A452" s="22">
        <v>43906</v>
      </c>
      <c r="B452" s="22"/>
      <c r="C452" s="25">
        <f>ROUND(9.54427718758212,4)</f>
        <v>9.5443</v>
      </c>
      <c r="D452" s="25">
        <f>F452</f>
        <v>10.827</v>
      </c>
      <c r="E452" s="25">
        <f>F452</f>
        <v>10.827</v>
      </c>
      <c r="F452" s="25">
        <f>ROUND(10.827,4)</f>
        <v>10.827</v>
      </c>
      <c r="G452" s="24"/>
      <c r="H452" s="35"/>
    </row>
    <row r="453" spans="1:8" ht="12.75" customHeight="1">
      <c r="A453" s="22" t="s">
        <v>86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ROUND(2.78547717387732,4)</f>
        <v>2.7855</v>
      </c>
      <c r="D454" s="25">
        <f>F454</f>
        <v>2.778</v>
      </c>
      <c r="E454" s="25">
        <f>F454</f>
        <v>2.778</v>
      </c>
      <c r="F454" s="25">
        <f>ROUND(2.778,4)</f>
        <v>2.778</v>
      </c>
      <c r="G454" s="24"/>
      <c r="H454" s="35"/>
    </row>
    <row r="455" spans="1:8" ht="12.75" customHeight="1">
      <c r="A455" s="22">
        <v>43360</v>
      </c>
      <c r="B455" s="22"/>
      <c r="C455" s="25">
        <f>ROUND(2.78547717387732,4)</f>
        <v>2.7855</v>
      </c>
      <c r="D455" s="25">
        <f>F455</f>
        <v>2.7109</v>
      </c>
      <c r="E455" s="25">
        <f>F455</f>
        <v>2.7109</v>
      </c>
      <c r="F455" s="25">
        <f>ROUND(2.7109,4)</f>
        <v>2.7109</v>
      </c>
      <c r="G455" s="24"/>
      <c r="H455" s="35"/>
    </row>
    <row r="456" spans="1:8" ht="12.75" customHeight="1">
      <c r="A456" s="22">
        <v>43448</v>
      </c>
      <c r="B456" s="22"/>
      <c r="C456" s="25">
        <f>ROUND(2.78547717387732,4)</f>
        <v>2.7855</v>
      </c>
      <c r="D456" s="25">
        <f>F456</f>
        <v>2.6456</v>
      </c>
      <c r="E456" s="25">
        <f>F456</f>
        <v>2.6456</v>
      </c>
      <c r="F456" s="25">
        <f>ROUND(2.6456,4)</f>
        <v>2.6456</v>
      </c>
      <c r="G456" s="24"/>
      <c r="H456" s="35"/>
    </row>
    <row r="457" spans="1:8" ht="12.75" customHeight="1">
      <c r="A457" s="22">
        <v>43542</v>
      </c>
      <c r="B457" s="22"/>
      <c r="C457" s="25">
        <f>ROUND(2.78547717387732,4)</f>
        <v>2.7855</v>
      </c>
      <c r="D457" s="25">
        <f>F457</f>
        <v>2.5743</v>
      </c>
      <c r="E457" s="25">
        <f>F457</f>
        <v>2.5743</v>
      </c>
      <c r="F457" s="25">
        <f>ROUND(2.5743,4)</f>
        <v>2.5743</v>
      </c>
      <c r="G457" s="24"/>
      <c r="H457" s="35"/>
    </row>
    <row r="458" spans="1:8" ht="12.75" customHeight="1">
      <c r="A458" s="22">
        <v>43630</v>
      </c>
      <c r="B458" s="22"/>
      <c r="C458" s="25">
        <f>ROUND(2.78547717387732,4)</f>
        <v>2.7855</v>
      </c>
      <c r="D458" s="25">
        <f>F458</f>
        <v>2.5904</v>
      </c>
      <c r="E458" s="25">
        <f>F458</f>
        <v>2.5904</v>
      </c>
      <c r="F458" s="25">
        <f>ROUND(2.5904,4)</f>
        <v>2.5904</v>
      </c>
      <c r="G458" s="24"/>
      <c r="H458" s="35"/>
    </row>
    <row r="459" spans="1:8" ht="12.75" customHeight="1">
      <c r="A459" s="22">
        <v>43724</v>
      </c>
      <c r="B459" s="22"/>
      <c r="C459" s="25">
        <f>ROUND(2.78547717387732,4)</f>
        <v>2.7855</v>
      </c>
      <c r="D459" s="25">
        <f>F459</f>
        <v>2.5219</v>
      </c>
      <c r="E459" s="25">
        <f>F459</f>
        <v>2.5219</v>
      </c>
      <c r="F459" s="25">
        <f>ROUND(2.5219,4)</f>
        <v>2.5219</v>
      </c>
      <c r="G459" s="24"/>
      <c r="H459" s="35"/>
    </row>
    <row r="460" spans="1:8" ht="12.75" customHeight="1">
      <c r="A460" s="22">
        <v>43812</v>
      </c>
      <c r="B460" s="22"/>
      <c r="C460" s="25">
        <f>ROUND(2.78547717387732,4)</f>
        <v>2.7855</v>
      </c>
      <c r="D460" s="25">
        <f>F460</f>
        <v>2.475</v>
      </c>
      <c r="E460" s="25">
        <f>F460</f>
        <v>2.475</v>
      </c>
      <c r="F460" s="25">
        <f>ROUND(2.475,4)</f>
        <v>2.475</v>
      </c>
      <c r="G460" s="24"/>
      <c r="H460" s="35"/>
    </row>
    <row r="461" spans="1:8" ht="12.75" customHeight="1">
      <c r="A461" s="22">
        <v>43906</v>
      </c>
      <c r="B461" s="22"/>
      <c r="C461" s="25">
        <f>ROUND(2.78547717387732,4)</f>
        <v>2.7855</v>
      </c>
      <c r="D461" s="25">
        <f>F461</f>
        <v>2.4248</v>
      </c>
      <c r="E461" s="25">
        <f>F461</f>
        <v>2.4248</v>
      </c>
      <c r="F461" s="25">
        <f>ROUND(2.4248,4)</f>
        <v>2.4248</v>
      </c>
      <c r="G461" s="24"/>
      <c r="H461" s="35"/>
    </row>
    <row r="462" spans="1:8" ht="12.75" customHeight="1">
      <c r="A462" s="22" t="s">
        <v>87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ROUND(12.7125,4)</f>
        <v>12.7125</v>
      </c>
      <c r="D463" s="25">
        <f>F463</f>
        <v>12.7293</v>
      </c>
      <c r="E463" s="25">
        <f>F463</f>
        <v>12.7293</v>
      </c>
      <c r="F463" s="25">
        <f>ROUND(12.7293,4)</f>
        <v>12.7293</v>
      </c>
      <c r="G463" s="24"/>
      <c r="H463" s="35"/>
    </row>
    <row r="464" spans="1:8" ht="12.75" customHeight="1">
      <c r="A464" s="22">
        <v>43360</v>
      </c>
      <c r="B464" s="22"/>
      <c r="C464" s="25">
        <f>ROUND(12.7125,4)</f>
        <v>12.7125</v>
      </c>
      <c r="D464" s="25">
        <f>F464</f>
        <v>12.8799</v>
      </c>
      <c r="E464" s="25">
        <f>F464</f>
        <v>12.8799</v>
      </c>
      <c r="F464" s="25">
        <f>ROUND(12.8799,4)</f>
        <v>12.8799</v>
      </c>
      <c r="G464" s="24"/>
      <c r="H464" s="35"/>
    </row>
    <row r="465" spans="1:8" ht="12.75" customHeight="1">
      <c r="A465" s="22">
        <v>43448</v>
      </c>
      <c r="B465" s="22"/>
      <c r="C465" s="25">
        <f>ROUND(12.7125,4)</f>
        <v>12.7125</v>
      </c>
      <c r="D465" s="25">
        <f>F465</f>
        <v>13.0229</v>
      </c>
      <c r="E465" s="25">
        <f>F465</f>
        <v>13.0229</v>
      </c>
      <c r="F465" s="25">
        <f>ROUND(13.0229,4)</f>
        <v>13.0229</v>
      </c>
      <c r="G465" s="24"/>
      <c r="H465" s="35"/>
    </row>
    <row r="466" spans="1:8" ht="12.75" customHeight="1">
      <c r="A466" s="22">
        <v>43542</v>
      </c>
      <c r="B466" s="22"/>
      <c r="C466" s="25">
        <f>ROUND(12.7125,4)</f>
        <v>12.7125</v>
      </c>
      <c r="D466" s="25">
        <f>F466</f>
        <v>13.1721</v>
      </c>
      <c r="E466" s="25">
        <f>F466</f>
        <v>13.1721</v>
      </c>
      <c r="F466" s="25">
        <f>ROUND(13.1721,4)</f>
        <v>13.1721</v>
      </c>
      <c r="G466" s="24"/>
      <c r="H466" s="35"/>
    </row>
    <row r="467" spans="1:8" ht="12.75" customHeight="1">
      <c r="A467" s="22">
        <v>43630</v>
      </c>
      <c r="B467" s="22"/>
      <c r="C467" s="25">
        <f>ROUND(12.7125,4)</f>
        <v>12.7125</v>
      </c>
      <c r="D467" s="25">
        <f>F467</f>
        <v>13.3106</v>
      </c>
      <c r="E467" s="25">
        <f>F467</f>
        <v>13.3106</v>
      </c>
      <c r="F467" s="25">
        <f>ROUND(13.3106,4)</f>
        <v>13.3106</v>
      </c>
      <c r="G467" s="24"/>
      <c r="H467" s="35"/>
    </row>
    <row r="468" spans="1:8" ht="12.75" customHeight="1">
      <c r="A468" s="22">
        <v>43724</v>
      </c>
      <c r="B468" s="22"/>
      <c r="C468" s="25">
        <f>ROUND(12.7125,4)</f>
        <v>12.7125</v>
      </c>
      <c r="D468" s="25">
        <f>F468</f>
        <v>13.4495</v>
      </c>
      <c r="E468" s="25">
        <f>F468</f>
        <v>13.4495</v>
      </c>
      <c r="F468" s="25">
        <f>ROUND(13.4495,4)</f>
        <v>13.4495</v>
      </c>
      <c r="G468" s="24"/>
      <c r="H468" s="35"/>
    </row>
    <row r="469" spans="1:8" ht="12.75" customHeight="1">
      <c r="A469" s="22">
        <v>43812</v>
      </c>
      <c r="B469" s="22"/>
      <c r="C469" s="25">
        <f>ROUND(12.7125,4)</f>
        <v>12.7125</v>
      </c>
      <c r="D469" s="25">
        <f>F469</f>
        <v>13.5795</v>
      </c>
      <c r="E469" s="25">
        <f>F469</f>
        <v>13.5795</v>
      </c>
      <c r="F469" s="25">
        <f>ROUND(13.5795,4)</f>
        <v>13.5795</v>
      </c>
      <c r="G469" s="24"/>
      <c r="H469" s="35"/>
    </row>
    <row r="470" spans="1:8" ht="12.75" customHeight="1">
      <c r="A470" s="22">
        <v>43906</v>
      </c>
      <c r="B470" s="22"/>
      <c r="C470" s="25">
        <f>ROUND(12.7125,4)</f>
        <v>12.7125</v>
      </c>
      <c r="D470" s="25">
        <f>F470</f>
        <v>13.7184</v>
      </c>
      <c r="E470" s="25">
        <f>F470</f>
        <v>13.7184</v>
      </c>
      <c r="F470" s="25">
        <f>ROUND(13.7184,4)</f>
        <v>13.7184</v>
      </c>
      <c r="G470" s="24"/>
      <c r="H470" s="35"/>
    </row>
    <row r="471" spans="1:8" ht="12.75" customHeight="1">
      <c r="A471" s="22" t="s">
        <v>88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ROUND(12.7125,4)</f>
        <v>12.7125</v>
      </c>
      <c r="D472" s="25">
        <f>F472</f>
        <v>12.7293</v>
      </c>
      <c r="E472" s="25">
        <f>F472</f>
        <v>12.7293</v>
      </c>
      <c r="F472" s="25">
        <f>ROUND(12.7293,4)</f>
        <v>12.7293</v>
      </c>
      <c r="G472" s="24"/>
      <c r="H472" s="35"/>
    </row>
    <row r="473" spans="1:8" ht="12.75" customHeight="1">
      <c r="A473" s="22">
        <v>43360</v>
      </c>
      <c r="B473" s="22"/>
      <c r="C473" s="25">
        <f>ROUND(12.7125,4)</f>
        <v>12.7125</v>
      </c>
      <c r="D473" s="25">
        <f>F473</f>
        <v>12.8799</v>
      </c>
      <c r="E473" s="25">
        <f>F473</f>
        <v>12.8799</v>
      </c>
      <c r="F473" s="25">
        <f>ROUND(12.8799,4)</f>
        <v>12.8799</v>
      </c>
      <c r="G473" s="24"/>
      <c r="H473" s="35"/>
    </row>
    <row r="474" spans="1:8" ht="12.75" customHeight="1">
      <c r="A474" s="22">
        <v>43448</v>
      </c>
      <c r="B474" s="22"/>
      <c r="C474" s="25">
        <f>ROUND(12.7125,4)</f>
        <v>12.7125</v>
      </c>
      <c r="D474" s="25">
        <f>F474</f>
        <v>13.0229</v>
      </c>
      <c r="E474" s="25">
        <f>F474</f>
        <v>13.0229</v>
      </c>
      <c r="F474" s="25">
        <f>ROUND(13.0229,4)</f>
        <v>13.0229</v>
      </c>
      <c r="G474" s="24"/>
      <c r="H474" s="35"/>
    </row>
    <row r="475" spans="1:8" ht="12.75" customHeight="1">
      <c r="A475" s="22">
        <v>43542</v>
      </c>
      <c r="B475" s="22"/>
      <c r="C475" s="25">
        <f>ROUND(12.7125,4)</f>
        <v>12.7125</v>
      </c>
      <c r="D475" s="25">
        <f>F475</f>
        <v>13.1721</v>
      </c>
      <c r="E475" s="25">
        <f>F475</f>
        <v>13.1721</v>
      </c>
      <c r="F475" s="25">
        <f>ROUND(13.1721,4)</f>
        <v>13.1721</v>
      </c>
      <c r="G475" s="24"/>
      <c r="H475" s="35"/>
    </row>
    <row r="476" spans="1:8" ht="12.75" customHeight="1">
      <c r="A476" s="22">
        <v>43630</v>
      </c>
      <c r="B476" s="22"/>
      <c r="C476" s="25">
        <f>ROUND(12.7125,4)</f>
        <v>12.7125</v>
      </c>
      <c r="D476" s="25">
        <f>F476</f>
        <v>13.3106</v>
      </c>
      <c r="E476" s="25">
        <f>F476</f>
        <v>13.3106</v>
      </c>
      <c r="F476" s="25">
        <f>ROUND(13.3106,4)</f>
        <v>13.3106</v>
      </c>
      <c r="G476" s="24"/>
      <c r="H476" s="35"/>
    </row>
    <row r="477" spans="1:8" ht="12.75" customHeight="1">
      <c r="A477" s="22">
        <v>43724</v>
      </c>
      <c r="B477" s="22"/>
      <c r="C477" s="25">
        <f>ROUND(12.7125,4)</f>
        <v>12.7125</v>
      </c>
      <c r="D477" s="25">
        <f>F477</f>
        <v>13.4495</v>
      </c>
      <c r="E477" s="25">
        <f>F477</f>
        <v>13.4495</v>
      </c>
      <c r="F477" s="25">
        <f>ROUND(13.4495,4)</f>
        <v>13.4495</v>
      </c>
      <c r="G477" s="24"/>
      <c r="H477" s="35"/>
    </row>
    <row r="478" spans="1:8" ht="12.75" customHeight="1">
      <c r="A478" s="22">
        <v>43812</v>
      </c>
      <c r="B478" s="22"/>
      <c r="C478" s="25">
        <f>ROUND(12.7125,4)</f>
        <v>12.7125</v>
      </c>
      <c r="D478" s="25">
        <f>F478</f>
        <v>13.5795</v>
      </c>
      <c r="E478" s="25">
        <f>F478</f>
        <v>13.5795</v>
      </c>
      <c r="F478" s="25">
        <f>ROUND(13.5795,4)</f>
        <v>13.5795</v>
      </c>
      <c r="G478" s="24"/>
      <c r="H478" s="35"/>
    </row>
    <row r="479" spans="1:8" ht="12.75" customHeight="1">
      <c r="A479" s="22">
        <v>43906</v>
      </c>
      <c r="B479" s="22"/>
      <c r="C479" s="25">
        <f>ROUND(12.7125,4)</f>
        <v>12.7125</v>
      </c>
      <c r="D479" s="25">
        <f>F479</f>
        <v>13.7184</v>
      </c>
      <c r="E479" s="25">
        <f>F479</f>
        <v>13.7184</v>
      </c>
      <c r="F479" s="25">
        <f>ROUND(13.7184,4)</f>
        <v>13.7184</v>
      </c>
      <c r="G479" s="24"/>
      <c r="H479" s="35"/>
    </row>
    <row r="480" spans="1:8" ht="12.75" customHeight="1">
      <c r="A480" s="22">
        <v>43994</v>
      </c>
      <c r="B480" s="22"/>
      <c r="C480" s="25">
        <f>ROUND(12.7125,4)</f>
        <v>12.7125</v>
      </c>
      <c r="D480" s="25">
        <f>F480</f>
        <v>13.8509</v>
      </c>
      <c r="E480" s="25">
        <f>F480</f>
        <v>13.8509</v>
      </c>
      <c r="F480" s="25">
        <f>ROUND(13.8509,4)</f>
        <v>13.8509</v>
      </c>
      <c r="G480" s="24"/>
      <c r="H480" s="35"/>
    </row>
    <row r="481" spans="1:8" ht="12.75" customHeight="1">
      <c r="A481" s="22">
        <v>44088</v>
      </c>
      <c r="B481" s="22"/>
      <c r="C481" s="25">
        <f>ROUND(12.7125,4)</f>
        <v>12.7125</v>
      </c>
      <c r="D481" s="25">
        <f>F481</f>
        <v>14.0482</v>
      </c>
      <c r="E481" s="25">
        <f>F481</f>
        <v>14.0482</v>
      </c>
      <c r="F481" s="25">
        <f>ROUND(14.0482,4)</f>
        <v>14.0482</v>
      </c>
      <c r="G481" s="24"/>
      <c r="H481" s="35"/>
    </row>
    <row r="482" spans="1:8" ht="12.75" customHeight="1">
      <c r="A482" s="22">
        <v>44179</v>
      </c>
      <c r="B482" s="22"/>
      <c r="C482" s="25">
        <f>ROUND(12.7125,4)</f>
        <v>12.7125</v>
      </c>
      <c r="D482" s="25">
        <f>F482</f>
        <v>14.2392</v>
      </c>
      <c r="E482" s="25">
        <f>F482</f>
        <v>14.2392</v>
      </c>
      <c r="F482" s="25">
        <f>ROUND(14.2392,4)</f>
        <v>14.2392</v>
      </c>
      <c r="G482" s="24"/>
      <c r="H482" s="35"/>
    </row>
    <row r="483" spans="1:8" ht="12.75" customHeight="1">
      <c r="A483" s="22">
        <v>44270</v>
      </c>
      <c r="B483" s="22"/>
      <c r="C483" s="25">
        <f>ROUND(12.7125,4)</f>
        <v>12.7125</v>
      </c>
      <c r="D483" s="25">
        <f>F483</f>
        <v>14.4303</v>
      </c>
      <c r="E483" s="25">
        <f>F483</f>
        <v>14.4303</v>
      </c>
      <c r="F483" s="25">
        <f>ROUND(14.4303,4)</f>
        <v>14.4303</v>
      </c>
      <c r="G483" s="24"/>
      <c r="H483" s="35"/>
    </row>
    <row r="484" spans="1:8" ht="12.75" customHeight="1">
      <c r="A484" s="22">
        <v>44358</v>
      </c>
      <c r="B484" s="22"/>
      <c r="C484" s="25">
        <f>ROUND(12.7125,4)</f>
        <v>12.7125</v>
      </c>
      <c r="D484" s="25">
        <f>F484</f>
        <v>14.615</v>
      </c>
      <c r="E484" s="25">
        <f>F484</f>
        <v>14.615</v>
      </c>
      <c r="F484" s="25">
        <f>ROUND(14.615,4)</f>
        <v>14.615</v>
      </c>
      <c r="G484" s="24"/>
      <c r="H484" s="35"/>
    </row>
    <row r="485" spans="1:8" ht="12.75" customHeight="1">
      <c r="A485" s="22" t="s">
        <v>89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43269</v>
      </c>
      <c r="B486" s="22"/>
      <c r="C486" s="25">
        <f>ROUND(1.25481196328102,4)</f>
        <v>1.2548</v>
      </c>
      <c r="D486" s="25">
        <f>F486</f>
        <v>1.2483</v>
      </c>
      <c r="E486" s="25">
        <f>F486</f>
        <v>1.2483</v>
      </c>
      <c r="F486" s="25">
        <f>ROUND(1.2483,4)</f>
        <v>1.2483</v>
      </c>
      <c r="G486" s="24"/>
      <c r="H486" s="35"/>
    </row>
    <row r="487" spans="1:8" ht="12.75" customHeight="1">
      <c r="A487" s="22">
        <v>43360</v>
      </c>
      <c r="B487" s="22"/>
      <c r="C487" s="25">
        <f>ROUND(1.25481196328102,4)</f>
        <v>1.2548</v>
      </c>
      <c r="D487" s="25">
        <f>F487</f>
        <v>1.2125</v>
      </c>
      <c r="E487" s="25">
        <f>F487</f>
        <v>1.2125</v>
      </c>
      <c r="F487" s="25">
        <f>ROUND(1.2125,4)</f>
        <v>1.2125</v>
      </c>
      <c r="G487" s="24"/>
      <c r="H487" s="35"/>
    </row>
    <row r="488" spans="1:8" ht="12.75" customHeight="1">
      <c r="A488" s="22">
        <v>43448</v>
      </c>
      <c r="B488" s="22"/>
      <c r="C488" s="25">
        <f>ROUND(1.25481196328102,4)</f>
        <v>1.2548</v>
      </c>
      <c r="D488" s="25">
        <f>F488</f>
        <v>1.1785</v>
      </c>
      <c r="E488" s="25">
        <f>F488</f>
        <v>1.1785</v>
      </c>
      <c r="F488" s="25">
        <f>ROUND(1.1785,4)</f>
        <v>1.1785</v>
      </c>
      <c r="G488" s="24"/>
      <c r="H488" s="35"/>
    </row>
    <row r="489" spans="1:8" ht="12.75" customHeight="1">
      <c r="A489" s="22">
        <v>43542</v>
      </c>
      <c r="B489" s="22"/>
      <c r="C489" s="25">
        <f>ROUND(1.25481196328102,4)</f>
        <v>1.2548</v>
      </c>
      <c r="D489" s="25">
        <f>F489</f>
        <v>1.1299</v>
      </c>
      <c r="E489" s="25">
        <f>F489</f>
        <v>1.1299</v>
      </c>
      <c r="F489" s="25">
        <f>ROUND(1.1299,4)</f>
        <v>1.1299</v>
      </c>
      <c r="G489" s="24"/>
      <c r="H489" s="35"/>
    </row>
    <row r="490" spans="1:8" ht="12.75" customHeight="1">
      <c r="A490" s="22">
        <v>43630</v>
      </c>
      <c r="B490" s="22"/>
      <c r="C490" s="25">
        <f>ROUND(1.25481196328102,4)</f>
        <v>1.2548</v>
      </c>
      <c r="D490" s="25">
        <f>F490</f>
        <v>1.0925</v>
      </c>
      <c r="E490" s="25">
        <f>F490</f>
        <v>1.0925</v>
      </c>
      <c r="F490" s="25">
        <f>ROUND(1.0925,4)</f>
        <v>1.0925</v>
      </c>
      <c r="G490" s="24"/>
      <c r="H490" s="35"/>
    </row>
    <row r="491" spans="1:8" ht="12.75" customHeight="1">
      <c r="A491" s="22">
        <v>43724</v>
      </c>
      <c r="B491" s="22"/>
      <c r="C491" s="25">
        <f>ROUND(1.25481196328102,4)</f>
        <v>1.2548</v>
      </c>
      <c r="D491" s="25">
        <f>F491</f>
        <v>1.0552</v>
      </c>
      <c r="E491" s="25">
        <f>F491</f>
        <v>1.0552</v>
      </c>
      <c r="F491" s="25">
        <f>ROUND(1.0552,4)</f>
        <v>1.0552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ROUND(670.805,3)</f>
        <v>670.805</v>
      </c>
      <c r="D493" s="27">
        <f>F493</f>
        <v>678.26</v>
      </c>
      <c r="E493" s="27">
        <f>F493</f>
        <v>678.26</v>
      </c>
      <c r="F493" s="27">
        <f>ROUND(678.26,3)</f>
        <v>678.26</v>
      </c>
      <c r="G493" s="24"/>
      <c r="H493" s="35"/>
    </row>
    <row r="494" spans="1:8" ht="12.75" customHeight="1">
      <c r="A494" s="22">
        <v>43405</v>
      </c>
      <c r="B494" s="22"/>
      <c r="C494" s="27">
        <f>ROUND(670.805,3)</f>
        <v>670.805</v>
      </c>
      <c r="D494" s="27">
        <f>F494</f>
        <v>690.389</v>
      </c>
      <c r="E494" s="27">
        <f>F494</f>
        <v>690.389</v>
      </c>
      <c r="F494" s="27">
        <f>ROUND(690.389,3)</f>
        <v>690.389</v>
      </c>
      <c r="G494" s="24"/>
      <c r="H494" s="35"/>
    </row>
    <row r="495" spans="1:8" ht="12.75" customHeight="1">
      <c r="A495" s="22">
        <v>43503</v>
      </c>
      <c r="B495" s="22"/>
      <c r="C495" s="27">
        <f>ROUND(670.805,3)</f>
        <v>670.805</v>
      </c>
      <c r="D495" s="27">
        <f>F495</f>
        <v>703.786</v>
      </c>
      <c r="E495" s="27">
        <f>F495</f>
        <v>703.786</v>
      </c>
      <c r="F495" s="27">
        <f>ROUND(703.786,3)</f>
        <v>703.786</v>
      </c>
      <c r="G495" s="24"/>
      <c r="H495" s="35"/>
    </row>
    <row r="496" spans="1:8" ht="12.75" customHeight="1">
      <c r="A496" s="22">
        <v>43587</v>
      </c>
      <c r="B496" s="22"/>
      <c r="C496" s="27">
        <f>ROUND(670.805,3)</f>
        <v>670.805</v>
      </c>
      <c r="D496" s="27">
        <f>F496</f>
        <v>715.754</v>
      </c>
      <c r="E496" s="27">
        <f>F496</f>
        <v>715.754</v>
      </c>
      <c r="F496" s="27">
        <f>ROUND(715.754,3)</f>
        <v>715.754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43314</v>
      </c>
      <c r="B498" s="22"/>
      <c r="C498" s="27">
        <f>ROUND(580.632,3)</f>
        <v>580.632</v>
      </c>
      <c r="D498" s="27">
        <f>F498</f>
        <v>587.085</v>
      </c>
      <c r="E498" s="27">
        <f>F498</f>
        <v>587.085</v>
      </c>
      <c r="F498" s="27">
        <f>ROUND(587.085,3)</f>
        <v>587.085</v>
      </c>
      <c r="G498" s="24"/>
      <c r="H498" s="35"/>
    </row>
    <row r="499" spans="1:8" ht="12.75" customHeight="1">
      <c r="A499" s="22">
        <v>43405</v>
      </c>
      <c r="B499" s="22"/>
      <c r="C499" s="27">
        <f>ROUND(580.632,3)</f>
        <v>580.632</v>
      </c>
      <c r="D499" s="27">
        <f>F499</f>
        <v>597.583</v>
      </c>
      <c r="E499" s="27">
        <f>F499</f>
        <v>597.583</v>
      </c>
      <c r="F499" s="27">
        <f>ROUND(597.583,3)</f>
        <v>597.583</v>
      </c>
      <c r="G499" s="24"/>
      <c r="H499" s="35"/>
    </row>
    <row r="500" spans="1:8" ht="12.75" customHeight="1">
      <c r="A500" s="22">
        <v>43503</v>
      </c>
      <c r="B500" s="22"/>
      <c r="C500" s="27">
        <f>ROUND(580.632,3)</f>
        <v>580.632</v>
      </c>
      <c r="D500" s="27">
        <f>F500</f>
        <v>609.18</v>
      </c>
      <c r="E500" s="27">
        <f>F500</f>
        <v>609.18</v>
      </c>
      <c r="F500" s="27">
        <f>ROUND(609.18,3)</f>
        <v>609.18</v>
      </c>
      <c r="G500" s="24"/>
      <c r="H500" s="35"/>
    </row>
    <row r="501" spans="1:8" ht="12.75" customHeight="1">
      <c r="A501" s="22">
        <v>43587</v>
      </c>
      <c r="B501" s="22"/>
      <c r="C501" s="27">
        <f>ROUND(580.632,3)</f>
        <v>580.632</v>
      </c>
      <c r="D501" s="27">
        <f>F501</f>
        <v>619.539</v>
      </c>
      <c r="E501" s="27">
        <f>F501</f>
        <v>619.539</v>
      </c>
      <c r="F501" s="27">
        <f>ROUND(619.539,3)</f>
        <v>619.539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43314</v>
      </c>
      <c r="B503" s="22"/>
      <c r="C503" s="27">
        <f>ROUND(674.698,3)</f>
        <v>674.698</v>
      </c>
      <c r="D503" s="27">
        <f>F503</f>
        <v>682.196</v>
      </c>
      <c r="E503" s="27">
        <f>F503</f>
        <v>682.196</v>
      </c>
      <c r="F503" s="27">
        <f>ROUND(682.196,3)</f>
        <v>682.196</v>
      </c>
      <c r="G503" s="24"/>
      <c r="H503" s="35"/>
    </row>
    <row r="504" spans="1:8" ht="12.75" customHeight="1">
      <c r="A504" s="22">
        <v>43405</v>
      </c>
      <c r="B504" s="22"/>
      <c r="C504" s="27">
        <f>ROUND(674.698,3)</f>
        <v>674.698</v>
      </c>
      <c r="D504" s="27">
        <f>F504</f>
        <v>694.395</v>
      </c>
      <c r="E504" s="27">
        <f>F504</f>
        <v>694.395</v>
      </c>
      <c r="F504" s="27">
        <f>ROUND(694.395,3)</f>
        <v>694.395</v>
      </c>
      <c r="G504" s="24"/>
      <c r="H504" s="35"/>
    </row>
    <row r="505" spans="1:8" ht="12.75" customHeight="1">
      <c r="A505" s="22">
        <v>43503</v>
      </c>
      <c r="B505" s="22"/>
      <c r="C505" s="27">
        <f>ROUND(674.698,3)</f>
        <v>674.698</v>
      </c>
      <c r="D505" s="27">
        <f>F505</f>
        <v>707.87</v>
      </c>
      <c r="E505" s="27">
        <f>F505</f>
        <v>707.87</v>
      </c>
      <c r="F505" s="27">
        <f>ROUND(707.87,3)</f>
        <v>707.87</v>
      </c>
      <c r="G505" s="24"/>
      <c r="H505" s="35"/>
    </row>
    <row r="506" spans="1:8" ht="12.75" customHeight="1">
      <c r="A506" s="22">
        <v>43587</v>
      </c>
      <c r="B506" s="22"/>
      <c r="C506" s="27">
        <f>ROUND(674.698,3)</f>
        <v>674.698</v>
      </c>
      <c r="D506" s="27">
        <f>F506</f>
        <v>719.908</v>
      </c>
      <c r="E506" s="27">
        <f>F506</f>
        <v>719.908</v>
      </c>
      <c r="F506" s="27">
        <f>ROUND(719.908,3)</f>
        <v>719.908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43314</v>
      </c>
      <c r="B508" s="22"/>
      <c r="C508" s="27">
        <f>ROUND(612.859,3)</f>
        <v>612.859</v>
      </c>
      <c r="D508" s="27">
        <f>F508</f>
        <v>619.67</v>
      </c>
      <c r="E508" s="27">
        <f>F508</f>
        <v>619.67</v>
      </c>
      <c r="F508" s="27">
        <f>ROUND(619.67,3)</f>
        <v>619.67</v>
      </c>
      <c r="G508" s="24"/>
      <c r="H508" s="35"/>
    </row>
    <row r="509" spans="1:8" ht="12.75" customHeight="1">
      <c r="A509" s="22">
        <v>43405</v>
      </c>
      <c r="B509" s="22"/>
      <c r="C509" s="27">
        <f>ROUND(612.859,3)</f>
        <v>612.859</v>
      </c>
      <c r="D509" s="27">
        <f>F509</f>
        <v>630.751</v>
      </c>
      <c r="E509" s="27">
        <f>F509</f>
        <v>630.751</v>
      </c>
      <c r="F509" s="27">
        <f>ROUND(630.751,3)</f>
        <v>630.751</v>
      </c>
      <c r="G509" s="24"/>
      <c r="H509" s="35"/>
    </row>
    <row r="510" spans="1:8" ht="12.75" customHeight="1">
      <c r="A510" s="22">
        <v>43503</v>
      </c>
      <c r="B510" s="22"/>
      <c r="C510" s="27">
        <f>ROUND(612.859,3)</f>
        <v>612.859</v>
      </c>
      <c r="D510" s="27">
        <f>F510</f>
        <v>642.991</v>
      </c>
      <c r="E510" s="27">
        <f>F510</f>
        <v>642.991</v>
      </c>
      <c r="F510" s="27">
        <f>ROUND(642.991,3)</f>
        <v>642.991</v>
      </c>
      <c r="G510" s="24"/>
      <c r="H510" s="35"/>
    </row>
    <row r="511" spans="1:8" ht="12.75" customHeight="1">
      <c r="A511" s="22">
        <v>43587</v>
      </c>
      <c r="B511" s="22"/>
      <c r="C511" s="27">
        <f>ROUND(612.859,3)</f>
        <v>612.859</v>
      </c>
      <c r="D511" s="27">
        <f>F511</f>
        <v>653.926</v>
      </c>
      <c r="E511" s="27">
        <f>F511</f>
        <v>653.926</v>
      </c>
      <c r="F511" s="27">
        <f>ROUND(653.926,3)</f>
        <v>653.926</v>
      </c>
      <c r="G511" s="24"/>
      <c r="H511" s="35"/>
    </row>
    <row r="512" spans="1:8" ht="12.75" customHeight="1">
      <c r="A512" s="22" t="s">
        <v>94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ROUND(255.212878451514,3)</f>
        <v>255.213</v>
      </c>
      <c r="D513" s="27">
        <f>F513</f>
        <v>258.086</v>
      </c>
      <c r="E513" s="27">
        <f>F513</f>
        <v>258.086</v>
      </c>
      <c r="F513" s="27">
        <f>ROUND(258.086,3)</f>
        <v>258.086</v>
      </c>
      <c r="G513" s="24"/>
      <c r="H513" s="35"/>
    </row>
    <row r="514" spans="1:8" ht="12.75" customHeight="1">
      <c r="A514" s="22">
        <v>43405</v>
      </c>
      <c r="B514" s="22"/>
      <c r="C514" s="27">
        <f>ROUND(255.212878451514,3)</f>
        <v>255.213</v>
      </c>
      <c r="D514" s="27">
        <f>F514</f>
        <v>262.75</v>
      </c>
      <c r="E514" s="27">
        <f>F514</f>
        <v>262.75</v>
      </c>
      <c r="F514" s="27">
        <f>ROUND(262.75,3)</f>
        <v>262.75</v>
      </c>
      <c r="G514" s="24"/>
      <c r="H514" s="35"/>
    </row>
    <row r="515" spans="1:8" ht="12.75" customHeight="1">
      <c r="A515" s="22">
        <v>43503</v>
      </c>
      <c r="B515" s="22"/>
      <c r="C515" s="27">
        <f>ROUND(255.212878451514,3)</f>
        <v>255.213</v>
      </c>
      <c r="D515" s="27">
        <f>F515</f>
        <v>267.904</v>
      </c>
      <c r="E515" s="27">
        <f>F515</f>
        <v>267.904</v>
      </c>
      <c r="F515" s="27">
        <f>ROUND(267.904,3)</f>
        <v>267.904</v>
      </c>
      <c r="G515" s="24"/>
      <c r="H515" s="35"/>
    </row>
    <row r="516" spans="1:8" ht="12.75" customHeight="1">
      <c r="A516" s="22">
        <v>43587</v>
      </c>
      <c r="B516" s="22"/>
      <c r="C516" s="27">
        <f>ROUND(255.212878451514,3)</f>
        <v>255.213</v>
      </c>
      <c r="D516" s="27">
        <f>F516</f>
        <v>272.487</v>
      </c>
      <c r="E516" s="27">
        <f>F516</f>
        <v>272.487</v>
      </c>
      <c r="F516" s="27">
        <f>ROUND(272.487,3)</f>
        <v>272.487</v>
      </c>
      <c r="G516" s="24"/>
      <c r="H516" s="35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43269</v>
      </c>
      <c r="B518" s="22"/>
      <c r="C518" s="24">
        <f>ROUND(22771.7878153197,2)</f>
        <v>22771.79</v>
      </c>
      <c r="D518" s="24">
        <f>F518</f>
        <v>22826.59</v>
      </c>
      <c r="E518" s="24">
        <f>F518</f>
        <v>22826.59</v>
      </c>
      <c r="F518" s="24">
        <f>ROUND(22826.59,2)</f>
        <v>22826.59</v>
      </c>
      <c r="G518" s="24"/>
      <c r="H518" s="35"/>
    </row>
    <row r="519" spans="1:8" ht="12.75" customHeight="1">
      <c r="A519" s="22">
        <v>43360</v>
      </c>
      <c r="B519" s="22"/>
      <c r="C519" s="24">
        <f>ROUND(22771.7878153197,2)</f>
        <v>22771.79</v>
      </c>
      <c r="D519" s="24">
        <f>F519</f>
        <v>23170.62</v>
      </c>
      <c r="E519" s="24">
        <f>F519</f>
        <v>23170.62</v>
      </c>
      <c r="F519" s="24">
        <f>ROUND(23170.62,2)</f>
        <v>23170.62</v>
      </c>
      <c r="G519" s="24"/>
      <c r="H519" s="35"/>
    </row>
    <row r="520" spans="1:8" ht="12.75" customHeight="1">
      <c r="A520" s="22">
        <v>43448</v>
      </c>
      <c r="B520" s="22"/>
      <c r="C520" s="24">
        <f>ROUND(22771.7878153197,2)</f>
        <v>22771.79</v>
      </c>
      <c r="D520" s="24">
        <f>F520</f>
        <v>23508.98</v>
      </c>
      <c r="E520" s="24">
        <f>F520</f>
        <v>23508.98</v>
      </c>
      <c r="F520" s="24">
        <f>ROUND(23508.98,2)</f>
        <v>23508.98</v>
      </c>
      <c r="G520" s="24"/>
      <c r="H520" s="35"/>
    </row>
    <row r="521" spans="1:8" ht="12.75" customHeight="1">
      <c r="A521" s="22" t="s">
        <v>96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43269</v>
      </c>
      <c r="B522" s="22"/>
      <c r="C522" s="27">
        <f>ROUND(6.908,3)</f>
        <v>6.908</v>
      </c>
      <c r="D522" s="27">
        <f>ROUND(7.51,3)</f>
        <v>7.51</v>
      </c>
      <c r="E522" s="27">
        <f>ROUND(7.41,3)</f>
        <v>7.41</v>
      </c>
      <c r="F522" s="27">
        <f>ROUND(7.46,3)</f>
        <v>7.46</v>
      </c>
      <c r="G522" s="24"/>
      <c r="H522" s="35"/>
    </row>
    <row r="523" spans="1:8" ht="12.75" customHeight="1">
      <c r="A523" s="22">
        <v>43271</v>
      </c>
      <c r="B523" s="22"/>
      <c r="C523" s="27">
        <f>ROUND(6.908,3)</f>
        <v>6.908</v>
      </c>
      <c r="D523" s="27">
        <f>ROUND(6.84,3)</f>
        <v>6.84</v>
      </c>
      <c r="E523" s="27">
        <f>ROUND(6.94,3)</f>
        <v>6.94</v>
      </c>
      <c r="F523" s="27">
        <f>ROUND(6.89,3)</f>
        <v>6.89</v>
      </c>
      <c r="G523" s="24"/>
      <c r="H523" s="35"/>
    </row>
    <row r="524" spans="1:8" ht="12.75" customHeight="1">
      <c r="A524" s="22">
        <v>43299</v>
      </c>
      <c r="B524" s="22"/>
      <c r="C524" s="27">
        <f>ROUND(6.908,3)</f>
        <v>6.908</v>
      </c>
      <c r="D524" s="27">
        <f>ROUND(6.77,3)</f>
        <v>6.77</v>
      </c>
      <c r="E524" s="27">
        <f>ROUND(6.87,3)</f>
        <v>6.87</v>
      </c>
      <c r="F524" s="27">
        <f>ROUND(6.82,3)</f>
        <v>6.82</v>
      </c>
      <c r="G524" s="24"/>
      <c r="H524" s="35"/>
    </row>
    <row r="525" spans="1:8" ht="12.75" customHeight="1">
      <c r="A525" s="22">
        <v>43362</v>
      </c>
      <c r="B525" s="22"/>
      <c r="C525" s="27">
        <f>ROUND(6.908,3)</f>
        <v>6.908</v>
      </c>
      <c r="D525" s="27">
        <f>ROUND(6.72,3)</f>
        <v>6.72</v>
      </c>
      <c r="E525" s="27">
        <f>ROUND(6.82,3)</f>
        <v>6.82</v>
      </c>
      <c r="F525" s="27">
        <f>ROUND(6.77,3)</f>
        <v>6.77</v>
      </c>
      <c r="G525" s="24"/>
      <c r="H525" s="35"/>
    </row>
    <row r="526" spans="1:8" ht="12.75" customHeight="1">
      <c r="A526" s="22">
        <v>43453</v>
      </c>
      <c r="B526" s="22"/>
      <c r="C526" s="27">
        <f>ROUND(6.908,3)</f>
        <v>6.908</v>
      </c>
      <c r="D526" s="27">
        <f>ROUND(6.75,3)</f>
        <v>6.75</v>
      </c>
      <c r="E526" s="27">
        <f>ROUND(6.85,3)</f>
        <v>6.85</v>
      </c>
      <c r="F526" s="27">
        <f>ROUND(6.8,3)</f>
        <v>6.8</v>
      </c>
      <c r="G526" s="24"/>
      <c r="H526" s="35"/>
    </row>
    <row r="527" spans="1:8" ht="12.75" customHeight="1">
      <c r="A527" s="22">
        <v>43544</v>
      </c>
      <c r="B527" s="22"/>
      <c r="C527" s="27">
        <f>ROUND(6.908,3)</f>
        <v>6.908</v>
      </c>
      <c r="D527" s="27">
        <f>ROUND(6.81,3)</f>
        <v>6.81</v>
      </c>
      <c r="E527" s="27">
        <f>ROUND(6.91,3)</f>
        <v>6.91</v>
      </c>
      <c r="F527" s="27">
        <f>ROUND(6.86,3)</f>
        <v>6.86</v>
      </c>
      <c r="G527" s="24"/>
      <c r="H527" s="35"/>
    </row>
    <row r="528" spans="1:8" ht="12.75" customHeight="1">
      <c r="A528" s="22">
        <v>43635</v>
      </c>
      <c r="B528" s="22"/>
      <c r="C528" s="27">
        <f>ROUND(6.908,3)</f>
        <v>6.908</v>
      </c>
      <c r="D528" s="27">
        <f>ROUND(6.86,3)</f>
        <v>6.86</v>
      </c>
      <c r="E528" s="27">
        <f>ROUND(6.96,3)</f>
        <v>6.96</v>
      </c>
      <c r="F528" s="27">
        <f>ROUND(6.91,3)</f>
        <v>6.91</v>
      </c>
      <c r="G528" s="24"/>
      <c r="H528" s="35"/>
    </row>
    <row r="529" spans="1:8" ht="12.75" customHeight="1">
      <c r="A529" s="22">
        <v>43726</v>
      </c>
      <c r="B529" s="22"/>
      <c r="C529" s="27">
        <f>ROUND(6.908,3)</f>
        <v>6.908</v>
      </c>
      <c r="D529" s="27">
        <f>ROUND(6.97,3)</f>
        <v>6.97</v>
      </c>
      <c r="E529" s="27">
        <f>ROUND(6.87,3)</f>
        <v>6.87</v>
      </c>
      <c r="F529" s="27">
        <f>ROUND(6.92,3)</f>
        <v>6.92</v>
      </c>
      <c r="G529" s="24"/>
      <c r="H529" s="35"/>
    </row>
    <row r="530" spans="1:8" ht="12.75" customHeight="1">
      <c r="A530" s="22">
        <v>43817</v>
      </c>
      <c r="B530" s="22"/>
      <c r="C530" s="27">
        <f>ROUND(6.908,3)</f>
        <v>6.908</v>
      </c>
      <c r="D530" s="27">
        <f>ROUND(7.05,3)</f>
        <v>7.05</v>
      </c>
      <c r="E530" s="27">
        <f>ROUND(6.95,3)</f>
        <v>6.95</v>
      </c>
      <c r="F530" s="27">
        <f>ROUND(7,3)</f>
        <v>7</v>
      </c>
      <c r="G530" s="24"/>
      <c r="H530" s="35"/>
    </row>
    <row r="531" spans="1:8" ht="12.75" customHeight="1">
      <c r="A531" s="22" t="s">
        <v>97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43314</v>
      </c>
      <c r="B532" s="22"/>
      <c r="C532" s="27">
        <f>ROUND(608.485,3)</f>
        <v>608.485</v>
      </c>
      <c r="D532" s="27">
        <f>F532</f>
        <v>615.247</v>
      </c>
      <c r="E532" s="27">
        <f>F532</f>
        <v>615.247</v>
      </c>
      <c r="F532" s="27">
        <f>ROUND(615.247,3)</f>
        <v>615.247</v>
      </c>
      <c r="G532" s="24"/>
      <c r="H532" s="35"/>
    </row>
    <row r="533" spans="1:8" ht="12.75" customHeight="1">
      <c r="A533" s="22">
        <v>43405</v>
      </c>
      <c r="B533" s="22"/>
      <c r="C533" s="27">
        <f>ROUND(608.485,3)</f>
        <v>608.485</v>
      </c>
      <c r="D533" s="27">
        <f>F533</f>
        <v>626.249</v>
      </c>
      <c r="E533" s="27">
        <f>F533</f>
        <v>626.249</v>
      </c>
      <c r="F533" s="27">
        <f>ROUND(626.249,3)</f>
        <v>626.249</v>
      </c>
      <c r="G533" s="24"/>
      <c r="H533" s="35"/>
    </row>
    <row r="534" spans="1:8" ht="12.75" customHeight="1">
      <c r="A534" s="22">
        <v>43503</v>
      </c>
      <c r="B534" s="22"/>
      <c r="C534" s="27">
        <f>ROUND(608.485,3)</f>
        <v>608.485</v>
      </c>
      <c r="D534" s="27">
        <f>F534</f>
        <v>638.402</v>
      </c>
      <c r="E534" s="27">
        <f>F534</f>
        <v>638.402</v>
      </c>
      <c r="F534" s="27">
        <f>ROUND(638.402,3)</f>
        <v>638.402</v>
      </c>
      <c r="G534" s="24"/>
      <c r="H534" s="35"/>
    </row>
    <row r="535" spans="1:8" ht="12.75" customHeight="1">
      <c r="A535" s="22">
        <v>43587</v>
      </c>
      <c r="B535" s="22"/>
      <c r="C535" s="27">
        <f>ROUND(608.485,3)</f>
        <v>608.485</v>
      </c>
      <c r="D535" s="27">
        <f>F535</f>
        <v>649.258</v>
      </c>
      <c r="E535" s="27">
        <f>F535</f>
        <v>649.258</v>
      </c>
      <c r="F535" s="27">
        <f>ROUND(649.258,3)</f>
        <v>649.258</v>
      </c>
      <c r="G535" s="24"/>
      <c r="H535" s="35"/>
    </row>
    <row r="536" spans="1:8" ht="12.75" customHeight="1">
      <c r="A536" s="22" t="s">
        <v>12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43546</v>
      </c>
      <c r="B537" s="22"/>
      <c r="C537" s="24">
        <f>ROUND(100.167773084638,2)</f>
        <v>100.17</v>
      </c>
      <c r="D537" s="24">
        <f>F537</f>
        <v>99.49</v>
      </c>
      <c r="E537" s="24">
        <f>F537</f>
        <v>99.49</v>
      </c>
      <c r="F537" s="24">
        <f>ROUND(99.4916789143108,2)</f>
        <v>99.49</v>
      </c>
      <c r="G537" s="24"/>
      <c r="H537" s="35"/>
    </row>
    <row r="538" spans="1:8" ht="12.75" customHeight="1">
      <c r="A538" s="22" t="s">
        <v>13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43913</v>
      </c>
      <c r="B539" s="22"/>
      <c r="C539" s="24">
        <f>ROUND(100.542652209641,2)</f>
        <v>100.54</v>
      </c>
      <c r="D539" s="24">
        <f>F539</f>
        <v>98.68</v>
      </c>
      <c r="E539" s="24">
        <f>F539</f>
        <v>98.68</v>
      </c>
      <c r="F539" s="24">
        <f>ROUND(98.6786989749704,2)</f>
        <v>98.68</v>
      </c>
      <c r="G539" s="24"/>
      <c r="H539" s="35"/>
    </row>
    <row r="540" spans="1:8" ht="12.75" customHeight="1">
      <c r="A540" s="22" t="s">
        <v>14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45007</v>
      </c>
      <c r="B541" s="22"/>
      <c r="C541" s="24">
        <f>ROUND(101.13474447071,2)</f>
        <v>101.13</v>
      </c>
      <c r="D541" s="24">
        <f>F541</f>
        <v>96.81</v>
      </c>
      <c r="E541" s="24">
        <f>F541</f>
        <v>96.81</v>
      </c>
      <c r="F541" s="24">
        <f>ROUND(96.8128513604982,2)</f>
        <v>96.81</v>
      </c>
      <c r="G541" s="24"/>
      <c r="H541" s="35"/>
    </row>
    <row r="542" spans="1:8" ht="12.75" customHeight="1">
      <c r="A542" s="22" t="s">
        <v>15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46834</v>
      </c>
      <c r="B543" s="22"/>
      <c r="C543" s="24">
        <f>ROUND(101.833548211608,2)</f>
        <v>101.83</v>
      </c>
      <c r="D543" s="24">
        <f>F543</f>
        <v>96.39</v>
      </c>
      <c r="E543" s="24">
        <f>F543</f>
        <v>96.39</v>
      </c>
      <c r="F543" s="24">
        <f>ROUND(96.3901188593064,2)</f>
        <v>96.39</v>
      </c>
      <c r="G543" s="24"/>
      <c r="H543" s="35"/>
    </row>
    <row r="544" spans="1:8" ht="12.75" customHeight="1">
      <c r="A544" s="22" t="s">
        <v>98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43272</v>
      </c>
      <c r="B545" s="22"/>
      <c r="C545" s="26">
        <f>ROUND(100.167773084638,5)</f>
        <v>100.16777</v>
      </c>
      <c r="D545" s="26">
        <f>F545</f>
        <v>99.90716</v>
      </c>
      <c r="E545" s="26">
        <f>F545</f>
        <v>99.90716</v>
      </c>
      <c r="F545" s="26">
        <f>ROUND(99.9071560639239,5)</f>
        <v>99.90716</v>
      </c>
      <c r="G545" s="24"/>
      <c r="H545" s="35"/>
    </row>
    <row r="546" spans="1:8" ht="12.75" customHeight="1">
      <c r="A546" s="22" t="s">
        <v>99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43363</v>
      </c>
      <c r="B547" s="22"/>
      <c r="C547" s="26">
        <f>ROUND(100.167773084638,5)</f>
        <v>100.16777</v>
      </c>
      <c r="D547" s="26">
        <f>F547</f>
        <v>100.04708</v>
      </c>
      <c r="E547" s="26">
        <f>F547</f>
        <v>100.04708</v>
      </c>
      <c r="F547" s="26">
        <f>ROUND(100.047082285901,5)</f>
        <v>100.04708</v>
      </c>
      <c r="G547" s="24"/>
      <c r="H547" s="35"/>
    </row>
    <row r="548" spans="1:8" ht="12.75" customHeight="1">
      <c r="A548" s="22" t="s">
        <v>100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43636</v>
      </c>
      <c r="B549" s="22"/>
      <c r="C549" s="24">
        <f>ROUND(100.167773084638,2)</f>
        <v>100.17</v>
      </c>
      <c r="D549" s="24">
        <f>F549</f>
        <v>100.17</v>
      </c>
      <c r="E549" s="24">
        <f>F549</f>
        <v>100.17</v>
      </c>
      <c r="F549" s="24">
        <f>ROUND(100.167773084638,2)</f>
        <v>100.17</v>
      </c>
      <c r="G549" s="24"/>
      <c r="H549" s="35"/>
    </row>
    <row r="550" spans="1:8" ht="12.75" customHeight="1">
      <c r="A550" s="22" t="s">
        <v>101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43266</v>
      </c>
      <c r="B551" s="22"/>
      <c r="C551" s="26">
        <f>ROUND(100.542652209641,5)</f>
        <v>100.54265</v>
      </c>
      <c r="D551" s="26">
        <f>F551</f>
        <v>98.59314</v>
      </c>
      <c r="E551" s="26">
        <f>F551</f>
        <v>98.59314</v>
      </c>
      <c r="F551" s="26">
        <f>ROUND(98.593136586464,5)</f>
        <v>98.59314</v>
      </c>
      <c r="G551" s="24"/>
      <c r="H551" s="35"/>
    </row>
    <row r="552" spans="1:8" ht="12.75" customHeight="1">
      <c r="A552" s="22" t="s">
        <v>102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43364</v>
      </c>
      <c r="B553" s="22"/>
      <c r="C553" s="26">
        <f>ROUND(100.542652209641,5)</f>
        <v>100.54265</v>
      </c>
      <c r="D553" s="26">
        <f>F553</f>
        <v>98.51703</v>
      </c>
      <c r="E553" s="26">
        <f>F553</f>
        <v>98.51703</v>
      </c>
      <c r="F553" s="26">
        <f>ROUND(98.5170295589578,5)</f>
        <v>98.51703</v>
      </c>
      <c r="G553" s="24"/>
      <c r="H553" s="35"/>
    </row>
    <row r="554" spans="1:8" ht="12.75" customHeight="1">
      <c r="A554" s="22" t="s">
        <v>103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43455</v>
      </c>
      <c r="B555" s="22"/>
      <c r="C555" s="24">
        <f>ROUND(100.542652209641,2)</f>
        <v>100.54</v>
      </c>
      <c r="D555" s="24">
        <f>F555</f>
        <v>98.88</v>
      </c>
      <c r="E555" s="24">
        <f>F555</f>
        <v>98.88</v>
      </c>
      <c r="F555" s="24">
        <f>ROUND(98.8755806266397,2)</f>
        <v>98.88</v>
      </c>
      <c r="G555" s="24"/>
      <c r="H555" s="35"/>
    </row>
    <row r="556" spans="1:8" ht="12.75" customHeight="1">
      <c r="A556" s="22" t="s">
        <v>104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43539</v>
      </c>
      <c r="B557" s="22"/>
      <c r="C557" s="26">
        <f>ROUND(100.542652209641,5)</f>
        <v>100.54265</v>
      </c>
      <c r="D557" s="26">
        <f>F557</f>
        <v>99.24042</v>
      </c>
      <c r="E557" s="26">
        <f>F557</f>
        <v>99.24042</v>
      </c>
      <c r="F557" s="26">
        <f>ROUND(99.2404153753967,5)</f>
        <v>99.24042</v>
      </c>
      <c r="G557" s="24"/>
      <c r="H557" s="35"/>
    </row>
    <row r="558" spans="1:8" ht="12.75" customHeight="1">
      <c r="A558" s="22" t="s">
        <v>105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43637</v>
      </c>
      <c r="B559" s="22"/>
      <c r="C559" s="26">
        <f>ROUND(100.542652209641,5)</f>
        <v>100.54265</v>
      </c>
      <c r="D559" s="26">
        <f>F559</f>
        <v>99.62002</v>
      </c>
      <c r="E559" s="26">
        <f>F559</f>
        <v>99.62002</v>
      </c>
      <c r="F559" s="26">
        <f>ROUND(99.6200201850704,5)</f>
        <v>99.62002</v>
      </c>
      <c r="G559" s="24"/>
      <c r="H559" s="35"/>
    </row>
    <row r="560" spans="1:8" ht="12.75" customHeight="1">
      <c r="A560" s="22" t="s">
        <v>106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43728</v>
      </c>
      <c r="B561" s="22"/>
      <c r="C561" s="26">
        <f>ROUND(100.542652209641,5)</f>
        <v>100.54265</v>
      </c>
      <c r="D561" s="26">
        <f>F561</f>
        <v>100.00407</v>
      </c>
      <c r="E561" s="26">
        <f>F561</f>
        <v>100.00407</v>
      </c>
      <c r="F561" s="26">
        <f>ROUND(100.00406813275,5)</f>
        <v>100.00407</v>
      </c>
      <c r="G561" s="24"/>
      <c r="H561" s="35"/>
    </row>
    <row r="562" spans="1:8" ht="12.75" customHeight="1">
      <c r="A562" s="22" t="s">
        <v>107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44004</v>
      </c>
      <c r="B563" s="22"/>
      <c r="C563" s="24">
        <f>ROUND(100.542652209641,2)</f>
        <v>100.54</v>
      </c>
      <c r="D563" s="24">
        <f>F563</f>
        <v>100.54</v>
      </c>
      <c r="E563" s="24">
        <f>F563</f>
        <v>100.54</v>
      </c>
      <c r="F563" s="24">
        <f>ROUND(100.542652209641,2)</f>
        <v>100.54</v>
      </c>
      <c r="G563" s="24"/>
      <c r="H563" s="35"/>
    </row>
    <row r="564" spans="1:8" ht="12.75" customHeight="1">
      <c r="A564" s="22" t="s">
        <v>108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44182</v>
      </c>
      <c r="B565" s="22"/>
      <c r="C565" s="26">
        <f>ROUND(101.13474447071,5)</f>
        <v>101.13474</v>
      </c>
      <c r="D565" s="26">
        <f>F565</f>
        <v>96.10043</v>
      </c>
      <c r="E565" s="26">
        <f>F565</f>
        <v>96.10043</v>
      </c>
      <c r="F565" s="26">
        <f>ROUND(96.1004303136332,5)</f>
        <v>96.10043</v>
      </c>
      <c r="G565" s="24"/>
      <c r="H565" s="35"/>
    </row>
    <row r="566" spans="1:8" ht="12.75" customHeight="1">
      <c r="A566" s="22" t="s">
        <v>109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44271</v>
      </c>
      <c r="B567" s="22"/>
      <c r="C567" s="26">
        <f>ROUND(101.13474447071,5)</f>
        <v>101.13474</v>
      </c>
      <c r="D567" s="26">
        <f>F567</f>
        <v>95.31034</v>
      </c>
      <c r="E567" s="26">
        <f>F567</f>
        <v>95.31034</v>
      </c>
      <c r="F567" s="26">
        <f>ROUND(95.3103389462815,5)</f>
        <v>95.31034</v>
      </c>
      <c r="G567" s="24"/>
      <c r="H567" s="35"/>
    </row>
    <row r="568" spans="1:8" ht="12.75" customHeight="1">
      <c r="A568" s="22" t="s">
        <v>110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44362</v>
      </c>
      <c r="B569" s="22"/>
      <c r="C569" s="26">
        <f>ROUND(101.13474447071,5)</f>
        <v>101.13474</v>
      </c>
      <c r="D569" s="26">
        <f>F569</f>
        <v>94.49189</v>
      </c>
      <c r="E569" s="26">
        <f>F569</f>
        <v>94.49189</v>
      </c>
      <c r="F569" s="26">
        <f>ROUND(94.4918895702381,5)</f>
        <v>94.49189</v>
      </c>
      <c r="G569" s="24"/>
      <c r="H569" s="35"/>
    </row>
    <row r="570" spans="1:8" ht="12.75" customHeight="1">
      <c r="A570" s="22" t="s">
        <v>111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44460</v>
      </c>
      <c r="B571" s="22"/>
      <c r="C571" s="26">
        <f>ROUND(101.13474447071,5)</f>
        <v>101.13474</v>
      </c>
      <c r="D571" s="26">
        <f>F571</f>
        <v>94.67661</v>
      </c>
      <c r="E571" s="26">
        <f>F571</f>
        <v>94.67661</v>
      </c>
      <c r="F571" s="26">
        <f>ROUND(94.6766113702704,5)</f>
        <v>94.67661</v>
      </c>
      <c r="G571" s="24"/>
      <c r="H571" s="35"/>
    </row>
    <row r="572" spans="1:8" ht="12.75" customHeight="1">
      <c r="A572" s="22" t="s">
        <v>112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44551</v>
      </c>
      <c r="B573" s="22"/>
      <c r="C573" s="26">
        <f>ROUND(101.13474447071,5)</f>
        <v>101.13474</v>
      </c>
      <c r="D573" s="26">
        <f>F573</f>
        <v>96.88521</v>
      </c>
      <c r="E573" s="26">
        <f>F573</f>
        <v>96.88521</v>
      </c>
      <c r="F573" s="26">
        <f>ROUND(96.8852054854264,5)</f>
        <v>96.88521</v>
      </c>
      <c r="G573" s="24"/>
      <c r="H573" s="35"/>
    </row>
    <row r="574" spans="1:8" ht="12.75" customHeight="1">
      <c r="A574" s="22" t="s">
        <v>113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44635</v>
      </c>
      <c r="B575" s="22"/>
      <c r="C575" s="26">
        <f>ROUND(101.13474447071,5)</f>
        <v>101.13474</v>
      </c>
      <c r="D575" s="26">
        <f>F575</f>
        <v>97.02601</v>
      </c>
      <c r="E575" s="26">
        <f>F575</f>
        <v>97.02601</v>
      </c>
      <c r="F575" s="26">
        <f>ROUND(97.0260142729122,5)</f>
        <v>97.02601</v>
      </c>
      <c r="G575" s="24"/>
      <c r="H575" s="35"/>
    </row>
    <row r="576" spans="1:8" ht="12.75" customHeight="1">
      <c r="A576" s="22" t="s">
        <v>114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44733</v>
      </c>
      <c r="B577" s="22"/>
      <c r="C577" s="26">
        <f>ROUND(101.13474447071,5)</f>
        <v>101.13474</v>
      </c>
      <c r="D577" s="26">
        <f>F577</f>
        <v>98.23787</v>
      </c>
      <c r="E577" s="26">
        <f>F577</f>
        <v>98.23787</v>
      </c>
      <c r="F577" s="26">
        <f>ROUND(98.237866249767,5)</f>
        <v>98.23787</v>
      </c>
      <c r="G577" s="24"/>
      <c r="H577" s="35"/>
    </row>
    <row r="578" spans="1:8" ht="12.75" customHeight="1">
      <c r="A578" s="22" t="s">
        <v>115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44824</v>
      </c>
      <c r="B579" s="22"/>
      <c r="C579" s="26">
        <f>ROUND(101.13474447071,5)</f>
        <v>101.13474</v>
      </c>
      <c r="D579" s="26">
        <f>F579</f>
        <v>100.44768</v>
      </c>
      <c r="E579" s="26">
        <f>F579</f>
        <v>100.44768</v>
      </c>
      <c r="F579" s="26">
        <f>ROUND(100.447681616706,5)</f>
        <v>100.44768</v>
      </c>
      <c r="G579" s="24"/>
      <c r="H579" s="35"/>
    </row>
    <row r="580" spans="1:8" ht="12.75" customHeight="1">
      <c r="A580" s="22" t="s">
        <v>116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45097</v>
      </c>
      <c r="B581" s="22"/>
      <c r="C581" s="24">
        <f>ROUND(101.13474447071,2)</f>
        <v>101.13</v>
      </c>
      <c r="D581" s="24">
        <f>F581</f>
        <v>101.13</v>
      </c>
      <c r="E581" s="24">
        <f>F581</f>
        <v>101.13</v>
      </c>
      <c r="F581" s="24">
        <f>ROUND(101.13474447071,2)</f>
        <v>101.13</v>
      </c>
      <c r="G581" s="24"/>
      <c r="H581" s="35"/>
    </row>
    <row r="582" spans="1:8" ht="12.75" customHeight="1">
      <c r="A582" s="22" t="s">
        <v>117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46008</v>
      </c>
      <c r="B583" s="22"/>
      <c r="C583" s="26">
        <f>ROUND(101.833548211608,5)</f>
        <v>101.83355</v>
      </c>
      <c r="D583" s="26">
        <f>F583</f>
        <v>94.95205</v>
      </c>
      <c r="E583" s="26">
        <f>F583</f>
        <v>94.95205</v>
      </c>
      <c r="F583" s="26">
        <f>ROUND(94.9520544017992,5)</f>
        <v>94.95205</v>
      </c>
      <c r="G583" s="24"/>
      <c r="H583" s="35"/>
    </row>
    <row r="584" spans="1:8" ht="12.75" customHeight="1">
      <c r="A584" s="22" t="s">
        <v>118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46097</v>
      </c>
      <c r="B585" s="22"/>
      <c r="C585" s="26">
        <f>ROUND(101.833548211608,5)</f>
        <v>101.83355</v>
      </c>
      <c r="D585" s="26">
        <f>F585</f>
        <v>91.93362</v>
      </c>
      <c r="E585" s="26">
        <f>F585</f>
        <v>91.93362</v>
      </c>
      <c r="F585" s="26">
        <f>ROUND(91.9336225160548,5)</f>
        <v>91.93362</v>
      </c>
      <c r="G585" s="24"/>
      <c r="H585" s="35"/>
    </row>
    <row r="586" spans="1:8" ht="12.75" customHeight="1">
      <c r="A586" s="22" t="s">
        <v>119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46188</v>
      </c>
      <c r="B587" s="22"/>
      <c r="C587" s="26">
        <f>ROUND(101.833548211608,5)</f>
        <v>101.83355</v>
      </c>
      <c r="D587" s="26">
        <f>F587</f>
        <v>90.64851</v>
      </c>
      <c r="E587" s="26">
        <f>F587</f>
        <v>90.64851</v>
      </c>
      <c r="F587" s="26">
        <f>ROUND(90.6485075049297,5)</f>
        <v>90.64851</v>
      </c>
      <c r="G587" s="24"/>
      <c r="H587" s="35"/>
    </row>
    <row r="588" spans="1:8" ht="12.75" customHeight="1">
      <c r="A588" s="22" t="s">
        <v>120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46286</v>
      </c>
      <c r="B589" s="22"/>
      <c r="C589" s="26">
        <f>ROUND(101.833548211608,5)</f>
        <v>101.83355</v>
      </c>
      <c r="D589" s="26">
        <f>F589</f>
        <v>92.78347</v>
      </c>
      <c r="E589" s="26">
        <f>F589</f>
        <v>92.78347</v>
      </c>
      <c r="F589" s="26">
        <f>ROUND(92.7834711462211,5)</f>
        <v>92.78347</v>
      </c>
      <c r="G589" s="24"/>
      <c r="H589" s="35"/>
    </row>
    <row r="590" spans="1:8" ht="12.75" customHeight="1">
      <c r="A590" s="22" t="s">
        <v>121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46377</v>
      </c>
      <c r="B591" s="22"/>
      <c r="C591" s="26">
        <f>ROUND(101.833548211608,5)</f>
        <v>101.83355</v>
      </c>
      <c r="D591" s="26">
        <f>F591</f>
        <v>96.53677</v>
      </c>
      <c r="E591" s="26">
        <f>F591</f>
        <v>96.53677</v>
      </c>
      <c r="F591" s="26">
        <f>ROUND(96.5367691227084,5)</f>
        <v>96.53677</v>
      </c>
      <c r="G591" s="24"/>
      <c r="H591" s="35"/>
    </row>
    <row r="592" spans="1:8" ht="12.75" customHeight="1">
      <c r="A592" s="22" t="s">
        <v>122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46461</v>
      </c>
      <c r="B593" s="22"/>
      <c r="C593" s="26">
        <f>ROUND(101.833548211608,5)</f>
        <v>101.83355</v>
      </c>
      <c r="D593" s="26">
        <f>F593</f>
        <v>95.06838</v>
      </c>
      <c r="E593" s="26">
        <f>F593</f>
        <v>95.06838</v>
      </c>
      <c r="F593" s="26">
        <f>ROUND(95.0683827034014,5)</f>
        <v>95.06838</v>
      </c>
      <c r="G593" s="24"/>
      <c r="H593" s="35"/>
    </row>
    <row r="594" spans="1:8" ht="12.75" customHeight="1">
      <c r="A594" s="22" t="s">
        <v>123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46559</v>
      </c>
      <c r="B595" s="22"/>
      <c r="C595" s="26">
        <f>ROUND(101.833548211608,5)</f>
        <v>101.83355</v>
      </c>
      <c r="D595" s="26">
        <f>F595</f>
        <v>97.1195</v>
      </c>
      <c r="E595" s="26">
        <f>F595</f>
        <v>97.1195</v>
      </c>
      <c r="F595" s="26">
        <f>ROUND(97.1194991746182,5)</f>
        <v>97.1195</v>
      </c>
      <c r="G595" s="24"/>
      <c r="H595" s="35"/>
    </row>
    <row r="596" spans="1:8" ht="12.75" customHeight="1">
      <c r="A596" s="22" t="s">
        <v>124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46650</v>
      </c>
      <c r="B597" s="22"/>
      <c r="C597" s="26">
        <f>ROUND(101.833548211608,5)</f>
        <v>101.83355</v>
      </c>
      <c r="D597" s="26">
        <f>F597</f>
        <v>100.82442</v>
      </c>
      <c r="E597" s="26">
        <f>F597</f>
        <v>100.82442</v>
      </c>
      <c r="F597" s="26">
        <f>ROUND(100.824418866302,5)</f>
        <v>100.82442</v>
      </c>
      <c r="G597" s="24"/>
      <c r="H597" s="35"/>
    </row>
    <row r="598" spans="1:8" ht="12.75" customHeight="1">
      <c r="A598" s="22" t="s">
        <v>125</v>
      </c>
      <c r="B598" s="22"/>
      <c r="C598" s="23"/>
      <c r="D598" s="23"/>
      <c r="E598" s="23"/>
      <c r="F598" s="23"/>
      <c r="G598" s="24"/>
      <c r="H598" s="35"/>
    </row>
    <row r="599" spans="1:8" ht="12.75" customHeight="1" thickBot="1">
      <c r="A599" s="32">
        <v>46924</v>
      </c>
      <c r="B599" s="32"/>
      <c r="C599" s="33">
        <f>ROUND(101.833548211608,2)</f>
        <v>101.83</v>
      </c>
      <c r="D599" s="33">
        <f>F599</f>
        <v>101.83</v>
      </c>
      <c r="E599" s="33">
        <f>F599</f>
        <v>101.83</v>
      </c>
      <c r="F599" s="33">
        <f>ROUND(101.833548211608,2)</f>
        <v>101.83</v>
      </c>
      <c r="G599" s="33"/>
      <c r="H599" s="36"/>
    </row>
  </sheetData>
  <sheetProtection/>
  <mergeCells count="598">
    <mergeCell ref="A598:B598"/>
    <mergeCell ref="A599:B599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2018-06-06T15:52:33Z</dcterms:modified>
  <cp:category/>
  <cp:version/>
  <cp:contentType/>
  <cp:contentStatus/>
</cp:coreProperties>
</file>