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'Jerry'!$A$1:$H$608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<sst xmlns="http://schemas.openxmlformats.org/spreadsheetml/2006/main" count="128" uniqueCount="124">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</sst>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zoomScaleSheetLayoutView="75" zoomScalePageLayoutView="0" workbookViewId="0" topLeftCell="A229">
      <selection activeCell="D250" sqref="D25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43297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ROUND(99.9334344404094,2)</f>
        <v>99.93</v>
      </c>
      <c r="D6" s="28">
        <f>F6</f>
        <v>101.76</v>
      </c>
      <c r="E6" s="28">
        <f>F6</f>
        <v>101.76</v>
      </c>
      <c r="F6" s="28">
        <f>ROUND(101.760916032255,2)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ROUND(99.9334344404094,2)</f>
        <v>99.93</v>
      </c>
      <c r="D7" s="28">
        <f>F7</f>
        <v>102.23</v>
      </c>
      <c r="E7" s="28">
        <f>F7</f>
        <v>102.23</v>
      </c>
      <c r="F7" s="28">
        <f>ROUND(102.230686803865,2)</f>
        <v>102.23</v>
      </c>
      <c r="G7" s="28"/>
      <c r="H7" s="42"/>
    </row>
    <row r="8" spans="1:8" ht="12.75" customHeight="1">
      <c r="A8" s="26">
        <v>43546</v>
      </c>
      <c r="B8" s="27"/>
      <c r="C8" s="28">
        <f>ROUND(99.9334344404094,2)</f>
        <v>99.93</v>
      </c>
      <c r="D8" s="28">
        <f>F8</f>
        <v>99.57</v>
      </c>
      <c r="E8" s="28">
        <f>F8</f>
        <v>99.57</v>
      </c>
      <c r="F8" s="28">
        <f>ROUND(99.5740728524748,2)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ROUND(99.9334344404094,2)</f>
        <v>99.93</v>
      </c>
      <c r="D9" s="28">
        <f>F9</f>
        <v>102.01</v>
      </c>
      <c r="E9" s="28">
        <f>F9</f>
        <v>102.01</v>
      </c>
      <c r="F9" s="28">
        <f>ROUND(102.011390245193,2)</f>
        <v>102.01</v>
      </c>
      <c r="G9" s="28"/>
      <c r="H9" s="42"/>
    </row>
    <row r="10" spans="1:8" ht="12.75" customHeight="1">
      <c r="A10" s="26">
        <v>43727</v>
      </c>
      <c r="B10" s="27"/>
      <c r="C10" s="28">
        <f>ROUND(99.9334344404094,2)</f>
        <v>99.93</v>
      </c>
      <c r="D10" s="28">
        <f>F10</f>
        <v>99.93</v>
      </c>
      <c r="E10" s="28">
        <f>F10</f>
        <v>99.93</v>
      </c>
      <c r="F10" s="28">
        <f>ROUND(99.9334344404094,2)</f>
        <v>99.93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ROUND(99.7202929191321,2)</f>
        <v>99.72</v>
      </c>
      <c r="D12" s="28">
        <f>F12</f>
        <v>98.52</v>
      </c>
      <c r="E12" s="28">
        <f>F12</f>
        <v>98.52</v>
      </c>
      <c r="F12" s="28">
        <f>ROUND(98.5167501774546,2)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ROUND(99.7202929191321,2)</f>
        <v>99.72</v>
      </c>
      <c r="D13" s="28">
        <f>F13</f>
        <v>98.9</v>
      </c>
      <c r="E13" s="28">
        <f>F13</f>
        <v>98.9</v>
      </c>
      <c r="F13" s="28">
        <f>ROUND(98.8966774909362,2)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ROUND(99.7202929191321,2)</f>
        <v>99.72</v>
      </c>
      <c r="D14" s="28">
        <f>F14</f>
        <v>99.31</v>
      </c>
      <c r="E14" s="28">
        <f>F14</f>
        <v>99.31</v>
      </c>
      <c r="F14" s="28">
        <f>ROUND(99.3108885760275,2)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ROUND(99.7202929191321,2)</f>
        <v>99.72</v>
      </c>
      <c r="D15" s="28">
        <f>F15</f>
        <v>99.75</v>
      </c>
      <c r="E15" s="28">
        <f>F15</f>
        <v>99.75</v>
      </c>
      <c r="F15" s="28">
        <f>ROUND(99.7515583273863,2)</f>
        <v>99.75</v>
      </c>
      <c r="G15" s="28"/>
      <c r="H15" s="42"/>
    </row>
    <row r="16" spans="1:8" ht="12.75" customHeight="1">
      <c r="A16" s="26">
        <v>43728</v>
      </c>
      <c r="B16" s="27"/>
      <c r="C16" s="28">
        <f>ROUND(99.7202929191321,2)</f>
        <v>99.72</v>
      </c>
      <c r="D16" s="28">
        <f>F16</f>
        <v>101.93</v>
      </c>
      <c r="E16" s="28">
        <f>F16</f>
        <v>101.93</v>
      </c>
      <c r="F16" s="28">
        <f>ROUND(101.932053445546,2)</f>
        <v>101.93</v>
      </c>
      <c r="G16" s="28"/>
      <c r="H16" s="42"/>
    </row>
    <row r="17" spans="1:8" ht="12.75" customHeight="1">
      <c r="A17" s="26">
        <v>43819</v>
      </c>
      <c r="B17" s="27"/>
      <c r="C17" s="28">
        <f>ROUND(99.7202929191321,2)</f>
        <v>99.72</v>
      </c>
      <c r="D17" s="28">
        <f>F17</f>
        <v>102.93</v>
      </c>
      <c r="E17" s="28">
        <f>F17</f>
        <v>102.93</v>
      </c>
      <c r="F17" s="28">
        <f>ROUND(102.931116004119,2)</f>
        <v>102.93</v>
      </c>
      <c r="G17" s="28"/>
      <c r="H17" s="42"/>
    </row>
    <row r="18" spans="1:8" ht="12.75" customHeight="1">
      <c r="A18" s="26">
        <v>43913</v>
      </c>
      <c r="B18" s="27"/>
      <c r="C18" s="28">
        <f>ROUND(99.7202929191321,2)</f>
        <v>99.72</v>
      </c>
      <c r="D18" s="28">
        <f>F18</f>
        <v>99.02</v>
      </c>
      <c r="E18" s="28">
        <f>F18</f>
        <v>99.02</v>
      </c>
      <c r="F18" s="28">
        <f>ROUND(99.0198028128975,2)</f>
        <v>99.02</v>
      </c>
      <c r="G18" s="28"/>
      <c r="H18" s="42"/>
    </row>
    <row r="19" spans="1:8" ht="12.75" customHeight="1">
      <c r="A19" s="26">
        <v>44004</v>
      </c>
      <c r="B19" s="27"/>
      <c r="C19" s="28">
        <f>ROUND(99.7202929191321,2)</f>
        <v>99.72</v>
      </c>
      <c r="D19" s="28">
        <f>F19</f>
        <v>102.65</v>
      </c>
      <c r="E19" s="28">
        <f>F19</f>
        <v>102.65</v>
      </c>
      <c r="F19" s="28">
        <f>ROUND(102.648066980775,2)</f>
        <v>102.65</v>
      </c>
      <c r="G19" s="28"/>
      <c r="H19" s="42"/>
    </row>
    <row r="20" spans="1:8" ht="12.75" customHeight="1">
      <c r="A20" s="26">
        <v>44095</v>
      </c>
      <c r="B20" s="27"/>
      <c r="C20" s="28">
        <f>ROUND(99.7202929191321,2)</f>
        <v>99.72</v>
      </c>
      <c r="D20" s="28">
        <f>F20</f>
        <v>99.72</v>
      </c>
      <c r="E20" s="28">
        <f>F20</f>
        <v>99.72</v>
      </c>
      <c r="F20" s="28">
        <f>ROUND(99.7202929191321,2)</f>
        <v>99.72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ROUND(99.0598999233354,2)</f>
        <v>99.06</v>
      </c>
      <c r="D22" s="28">
        <f>F22</f>
        <v>96.59</v>
      </c>
      <c r="E22" s="28">
        <f>F22</f>
        <v>96.59</v>
      </c>
      <c r="F22" s="28">
        <f>ROUND(96.5928349920933,2)</f>
        <v>96.59</v>
      </c>
      <c r="G22" s="28"/>
      <c r="H22" s="42"/>
    </row>
    <row r="23" spans="1:8" ht="12.75" customHeight="1">
      <c r="A23" s="26">
        <v>44271</v>
      </c>
      <c r="B23" s="27"/>
      <c r="C23" s="28">
        <f>ROUND(99.0598999233354,2)</f>
        <v>99.06</v>
      </c>
      <c r="D23" s="28">
        <f>F23</f>
        <v>95.84</v>
      </c>
      <c r="E23" s="28">
        <f>F23</f>
        <v>95.84</v>
      </c>
      <c r="F23" s="28">
        <f>ROUND(95.8407684307353,2)</f>
        <v>95.84</v>
      </c>
      <c r="G23" s="28"/>
      <c r="H23" s="42"/>
    </row>
    <row r="24" spans="1:8" ht="12.75" customHeight="1">
      <c r="A24" s="26">
        <v>44362</v>
      </c>
      <c r="B24" s="27"/>
      <c r="C24" s="28">
        <f>ROUND(99.0598999233354,2)</f>
        <v>99.06</v>
      </c>
      <c r="D24" s="28">
        <f>F24</f>
        <v>95.06</v>
      </c>
      <c r="E24" s="28">
        <f>F24</f>
        <v>95.06</v>
      </c>
      <c r="F24" s="28">
        <f>ROUND(95.0551553945796,2)</f>
        <v>95.06</v>
      </c>
      <c r="G24" s="28"/>
      <c r="H24" s="42"/>
    </row>
    <row r="25" spans="1:8" ht="12.75" customHeight="1">
      <c r="A25" s="26">
        <v>44460</v>
      </c>
      <c r="B25" s="27"/>
      <c r="C25" s="28">
        <f>ROUND(99.0598999233354,2)</f>
        <v>99.06</v>
      </c>
      <c r="D25" s="28">
        <f>F25</f>
        <v>95.26</v>
      </c>
      <c r="E25" s="28">
        <f>F25</f>
        <v>95.26</v>
      </c>
      <c r="F25" s="28">
        <f>ROUND(95.2565676146913,2)</f>
        <v>95.26</v>
      </c>
      <c r="G25" s="28"/>
      <c r="H25" s="42"/>
    </row>
    <row r="26" spans="1:8" ht="12.75" customHeight="1">
      <c r="A26" s="26">
        <v>44551</v>
      </c>
      <c r="B26" s="27"/>
      <c r="C26" s="28">
        <f>ROUND(99.0598999233354,2)</f>
        <v>99.06</v>
      </c>
      <c r="D26" s="28">
        <f>F26</f>
        <v>97.47</v>
      </c>
      <c r="E26" s="28">
        <f>F26</f>
        <v>97.47</v>
      </c>
      <c r="F26" s="28">
        <f>ROUND(97.4669614869299,2)</f>
        <v>97.47</v>
      </c>
      <c r="G26" s="28"/>
      <c r="H26" s="42"/>
    </row>
    <row r="27" spans="1:8" ht="12.75" customHeight="1">
      <c r="A27" s="26">
        <v>44635</v>
      </c>
      <c r="B27" s="27"/>
      <c r="C27" s="28">
        <f>ROUND(99.0598999233354,2)</f>
        <v>99.06</v>
      </c>
      <c r="D27" s="28">
        <f>F27</f>
        <v>97.61</v>
      </c>
      <c r="E27" s="28">
        <f>F27</f>
        <v>97.61</v>
      </c>
      <c r="F27" s="28">
        <f>ROUND(97.6126690231705,2)</f>
        <v>97.61</v>
      </c>
      <c r="G27" s="28"/>
      <c r="H27" s="42"/>
    </row>
    <row r="28" spans="1:8" ht="12.75" customHeight="1">
      <c r="A28" s="26">
        <v>44733</v>
      </c>
      <c r="B28" s="27"/>
      <c r="C28" s="28">
        <f>ROUND(99.0598999233354,2)</f>
        <v>99.06</v>
      </c>
      <c r="D28" s="28">
        <f>F28</f>
        <v>98.83</v>
      </c>
      <c r="E28" s="28">
        <f>F28</f>
        <v>98.83</v>
      </c>
      <c r="F28" s="28">
        <f>ROUND(98.8315314496372,2)</f>
        <v>98.83</v>
      </c>
      <c r="G28" s="28"/>
      <c r="H28" s="42"/>
    </row>
    <row r="29" spans="1:8" ht="12.75" customHeight="1">
      <c r="A29" s="26">
        <v>44824</v>
      </c>
      <c r="B29" s="27"/>
      <c r="C29" s="28">
        <f>ROUND(99.0598999233354,2)</f>
        <v>99.06</v>
      </c>
      <c r="D29" s="28">
        <f>F29</f>
        <v>102.76</v>
      </c>
      <c r="E29" s="28">
        <f>F29</f>
        <v>102.76</v>
      </c>
      <c r="F29" s="28">
        <f>ROUND(102.763552881447,2)</f>
        <v>102.76</v>
      </c>
      <c r="G29" s="28"/>
      <c r="H29" s="42"/>
    </row>
    <row r="30" spans="1:8" ht="12.75" customHeight="1">
      <c r="A30" s="26">
        <v>44915</v>
      </c>
      <c r="B30" s="27"/>
      <c r="C30" s="28">
        <f>ROUND(99.0598999233354,2)</f>
        <v>99.06</v>
      </c>
      <c r="D30" s="28">
        <f>F30</f>
        <v>104.04</v>
      </c>
      <c r="E30" s="28">
        <f>F30</f>
        <v>104.04</v>
      </c>
      <c r="F30" s="28">
        <f>ROUND(104.037436806889,2)</f>
        <v>104.04</v>
      </c>
      <c r="G30" s="28"/>
      <c r="H30" s="42"/>
    </row>
    <row r="31" spans="1:8" ht="12.75" customHeight="1">
      <c r="A31" s="26">
        <v>45007</v>
      </c>
      <c r="B31" s="27"/>
      <c r="C31" s="28">
        <f>ROUND(99.0598999233354,2)</f>
        <v>99.06</v>
      </c>
      <c r="D31" s="28">
        <f>F31</f>
        <v>97.48</v>
      </c>
      <c r="E31" s="28">
        <f>F31</f>
        <v>97.48</v>
      </c>
      <c r="F31" s="28">
        <f>ROUND(97.4752762189126,2)</f>
        <v>97.48</v>
      </c>
      <c r="G31" s="28"/>
      <c r="H31" s="42"/>
    </row>
    <row r="32" spans="1:8" ht="12.75" customHeight="1">
      <c r="A32" s="26">
        <v>45097</v>
      </c>
      <c r="B32" s="27"/>
      <c r="C32" s="28">
        <f>ROUND(99.0598999233354,2)</f>
        <v>99.06</v>
      </c>
      <c r="D32" s="28">
        <f>F32</f>
        <v>103.52</v>
      </c>
      <c r="E32" s="28">
        <f>F32</f>
        <v>103.52</v>
      </c>
      <c r="F32" s="28">
        <f>ROUND(103.51676688016,2)</f>
        <v>103.52</v>
      </c>
      <c r="G32" s="28"/>
      <c r="H32" s="42"/>
    </row>
    <row r="33" spans="1:8" ht="12.75" customHeight="1">
      <c r="A33" s="26">
        <v>45188</v>
      </c>
      <c r="B33" s="27"/>
      <c r="C33" s="28">
        <f>ROUND(99.0598999233354,2)</f>
        <v>99.06</v>
      </c>
      <c r="D33" s="28">
        <f>F33</f>
        <v>99.06</v>
      </c>
      <c r="E33" s="28">
        <f>F33</f>
        <v>99.06</v>
      </c>
      <c r="F33" s="28">
        <f>ROUND(99.0598999233354,2)</f>
        <v>99.06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ROUND(98.1787615637574,2)</f>
        <v>98.18</v>
      </c>
      <c r="D35" s="28">
        <f>F35</f>
        <v>95.85</v>
      </c>
      <c r="E35" s="28">
        <f>F35</f>
        <v>95.85</v>
      </c>
      <c r="F35" s="28">
        <f>ROUND(95.847406485241,2)</f>
        <v>95.85</v>
      </c>
      <c r="G35" s="28"/>
      <c r="H35" s="42"/>
    </row>
    <row r="36" spans="1:8" ht="12.75" customHeight="1">
      <c r="A36" s="26">
        <v>46097</v>
      </c>
      <c r="B36" s="27"/>
      <c r="C36" s="28">
        <f>ROUND(98.1787615637574,2)</f>
        <v>98.18</v>
      </c>
      <c r="D36" s="28">
        <f>F36</f>
        <v>92.86</v>
      </c>
      <c r="E36" s="28">
        <f>F36</f>
        <v>92.86</v>
      </c>
      <c r="F36" s="28">
        <f>ROUND(92.8568082883776,2)</f>
        <v>92.86</v>
      </c>
      <c r="G36" s="28"/>
      <c r="H36" s="42"/>
    </row>
    <row r="37" spans="1:8" ht="12.75" customHeight="1">
      <c r="A37" s="26">
        <v>46188</v>
      </c>
      <c r="B37" s="27"/>
      <c r="C37" s="28">
        <f>ROUND(98.1787615637574,2)</f>
        <v>98.18</v>
      </c>
      <c r="D37" s="28">
        <f>F37</f>
        <v>91.6</v>
      </c>
      <c r="E37" s="28">
        <f>F37</f>
        <v>91.6</v>
      </c>
      <c r="F37" s="28">
        <f>ROUND(91.6016226168835,2)</f>
        <v>91.6</v>
      </c>
      <c r="G37" s="28"/>
      <c r="H37" s="42"/>
    </row>
    <row r="38" spans="1:8" ht="12.75" customHeight="1">
      <c r="A38" s="26">
        <v>46286</v>
      </c>
      <c r="B38" s="27"/>
      <c r="C38" s="28">
        <f>ROUND(98.1787615637574,2)</f>
        <v>98.18</v>
      </c>
      <c r="D38" s="28">
        <f>F38</f>
        <v>93.76</v>
      </c>
      <c r="E38" s="28">
        <f>F38</f>
        <v>93.76</v>
      </c>
      <c r="F38" s="28">
        <f>ROUND(93.7572046403893,2)</f>
        <v>93.76</v>
      </c>
      <c r="G38" s="28"/>
      <c r="H38" s="42"/>
    </row>
    <row r="39" spans="1:8" ht="12.75" customHeight="1">
      <c r="A39" s="26">
        <v>46377</v>
      </c>
      <c r="B39" s="27"/>
      <c r="C39" s="28">
        <f>ROUND(98.1787615637574,2)</f>
        <v>98.18</v>
      </c>
      <c r="D39" s="28">
        <f>F39</f>
        <v>97.53</v>
      </c>
      <c r="E39" s="28">
        <f>F39</f>
        <v>97.53</v>
      </c>
      <c r="F39" s="28">
        <f>ROUND(97.5264394633499,2)</f>
        <v>97.53</v>
      </c>
      <c r="G39" s="28"/>
      <c r="H39" s="42"/>
    </row>
    <row r="40" spans="1:8" ht="12.75" customHeight="1">
      <c r="A40" s="26">
        <v>46461</v>
      </c>
      <c r="B40" s="27"/>
      <c r="C40" s="28">
        <f>ROUND(98.1787615637574,2)</f>
        <v>98.18</v>
      </c>
      <c r="D40" s="28">
        <f>F40</f>
        <v>96.1</v>
      </c>
      <c r="E40" s="28">
        <f>F40</f>
        <v>96.1</v>
      </c>
      <c r="F40" s="28">
        <f>ROUND(96.0992272877199,2)</f>
        <v>96.1</v>
      </c>
      <c r="G40" s="28"/>
      <c r="H40" s="42"/>
    </row>
    <row r="41" spans="1:8" ht="12.75" customHeight="1">
      <c r="A41" s="26">
        <v>46559</v>
      </c>
      <c r="B41" s="27"/>
      <c r="C41" s="28">
        <f>ROUND(98.1787615637574,2)</f>
        <v>98.18</v>
      </c>
      <c r="D41" s="28">
        <f>F41</f>
        <v>98.16</v>
      </c>
      <c r="E41" s="28">
        <f>F41</f>
        <v>98.16</v>
      </c>
      <c r="F41" s="28">
        <f>ROUND(98.1641365386024,2)</f>
        <v>98.16</v>
      </c>
      <c r="G41" s="28"/>
      <c r="H41" s="42"/>
    </row>
    <row r="42" spans="1:8" ht="12.75" customHeight="1">
      <c r="A42" s="26">
        <v>46650</v>
      </c>
      <c r="B42" s="27"/>
      <c r="C42" s="28">
        <f>ROUND(98.1787615637574,2)</f>
        <v>98.18</v>
      </c>
      <c r="D42" s="28">
        <f>F42</f>
        <v>103.57</v>
      </c>
      <c r="E42" s="28">
        <f>F42</f>
        <v>103.57</v>
      </c>
      <c r="F42" s="28">
        <f>ROUND(103.571131338723,2)</f>
        <v>103.57</v>
      </c>
      <c r="G42" s="28"/>
      <c r="H42" s="42"/>
    </row>
    <row r="43" spans="1:8" ht="12.75" customHeight="1">
      <c r="A43" s="26">
        <v>46741</v>
      </c>
      <c r="B43" s="27"/>
      <c r="C43" s="28">
        <f>ROUND(98.1787615637574,2)</f>
        <v>98.18</v>
      </c>
      <c r="D43" s="28">
        <f>F43</f>
        <v>103.91</v>
      </c>
      <c r="E43" s="28">
        <f>F43</f>
        <v>103.91</v>
      </c>
      <c r="F43" s="28">
        <f>ROUND(103.908351887186,2)</f>
        <v>103.91</v>
      </c>
      <c r="G43" s="28"/>
      <c r="H43" s="42"/>
    </row>
    <row r="44" spans="1:8" ht="12.75" customHeight="1">
      <c r="A44" s="26">
        <v>46834</v>
      </c>
      <c r="B44" s="27"/>
      <c r="C44" s="28">
        <f>ROUND(98.1787615637574,2)</f>
        <v>98.18</v>
      </c>
      <c r="D44" s="28">
        <f>F44</f>
        <v>97.46</v>
      </c>
      <c r="E44" s="28">
        <f>F44</f>
        <v>97.46</v>
      </c>
      <c r="F44" s="28">
        <f>ROUND(97.455335286709,2)</f>
        <v>97.46</v>
      </c>
      <c r="G44" s="28"/>
      <c r="H44" s="42"/>
    </row>
    <row r="45" spans="1:8" ht="12.75" customHeight="1">
      <c r="A45" s="26">
        <v>46924</v>
      </c>
      <c r="B45" s="27"/>
      <c r="C45" s="28">
        <f>ROUND(98.1787615637574,2)</f>
        <v>98.18</v>
      </c>
      <c r="D45" s="28">
        <f>F45</f>
        <v>104.57</v>
      </c>
      <c r="E45" s="28">
        <f>F45</f>
        <v>104.57</v>
      </c>
      <c r="F45" s="28">
        <f>ROUND(104.573239561501,2)</f>
        <v>104.57</v>
      </c>
      <c r="G45" s="28"/>
      <c r="H45" s="42"/>
    </row>
    <row r="46" spans="1:8" ht="12.75" customHeight="1">
      <c r="A46" s="26">
        <v>47015</v>
      </c>
      <c r="B46" s="27"/>
      <c r="C46" s="28">
        <f>ROUND(98.1787615637574,2)</f>
        <v>98.18</v>
      </c>
      <c r="D46" s="28">
        <f>F46</f>
        <v>98.18</v>
      </c>
      <c r="E46" s="28">
        <f>F46</f>
        <v>98.18</v>
      </c>
      <c r="F46" s="28">
        <f>ROUND(98.1787615637574,2)</f>
        <v>98.18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ROUND(3.76,5)</f>
        <v>3.76</v>
      </c>
      <c r="D54" s="30">
        <f>F54</f>
        <v>3.76</v>
      </c>
      <c r="E54" s="30">
        <f>F54</f>
        <v>3.76</v>
      </c>
      <c r="F54" s="30">
        <f>ROUND(3.76,5)</f>
        <v>3.76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ROUND(10.725,5)</f>
        <v>10.725</v>
      </c>
      <c r="D56" s="30">
        <f>F56</f>
        <v>10.725</v>
      </c>
      <c r="E56" s="30">
        <f>F56</f>
        <v>10.725</v>
      </c>
      <c r="F56" s="30">
        <f>ROUND(10.725,5)</f>
        <v>10.725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ROUND(8.12,5)</f>
        <v>8.12</v>
      </c>
      <c r="D58" s="30">
        <f>F58</f>
        <v>8.12</v>
      </c>
      <c r="E58" s="30">
        <f>F58</f>
        <v>8.12</v>
      </c>
      <c r="F58" s="30">
        <f>ROUND(8.12,5)</f>
        <v>8.12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ROUND(8.69,3)</f>
        <v>8.69</v>
      </c>
      <c r="D60" s="31">
        <f>F60</f>
        <v>8.69</v>
      </c>
      <c r="E60" s="31">
        <f>F60</f>
        <v>8.69</v>
      </c>
      <c r="F60" s="31">
        <f>ROUND(8.69,3)</f>
        <v>8.69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ROUND(2.74,3)</f>
        <v>2.74</v>
      </c>
      <c r="D62" s="31">
        <f>F62</f>
        <v>2.74</v>
      </c>
      <c r="E62" s="31">
        <f>F62</f>
        <v>2.74</v>
      </c>
      <c r="F62" s="31">
        <f>ROUND(2.74,3)</f>
        <v>2.74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ROUND(3.04,3)</f>
        <v>3.04</v>
      </c>
      <c r="D64" s="31">
        <f>F64</f>
        <v>3.04</v>
      </c>
      <c r="E64" s="31">
        <f>F64</f>
        <v>3.04</v>
      </c>
      <c r="F64" s="31">
        <f>ROUND(3.04,3)</f>
        <v>3.04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ROUND(6.7,3)</f>
        <v>6.7</v>
      </c>
      <c r="D66" s="31">
        <f>F66</f>
        <v>6.7</v>
      </c>
      <c r="E66" s="31">
        <f>F66</f>
        <v>6.7</v>
      </c>
      <c r="F66" s="31">
        <f>ROUND(6.7,3)</f>
        <v>6.7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ROUND(7.41,3)</f>
        <v>7.41</v>
      </c>
      <c r="D68" s="31">
        <f>F68</f>
        <v>7.41</v>
      </c>
      <c r="E68" s="31">
        <f>F68</f>
        <v>7.41</v>
      </c>
      <c r="F68" s="31">
        <f>ROUND(7.41,3)</f>
        <v>7.41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ROUND(7.705,3)</f>
        <v>7.705</v>
      </c>
      <c r="D70" s="31">
        <f>F70</f>
        <v>7.705</v>
      </c>
      <c r="E70" s="31">
        <f>F70</f>
        <v>7.705</v>
      </c>
      <c r="F70" s="31">
        <f>ROUND(7.705,3)</f>
        <v>7.705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ROUND(9.395,3)</f>
        <v>9.395</v>
      </c>
      <c r="D72" s="31">
        <f>F72</f>
        <v>9.395</v>
      </c>
      <c r="E72" s="31">
        <f>F72</f>
        <v>9.395</v>
      </c>
      <c r="F72" s="31">
        <f>ROUND(9.395,3)</f>
        <v>9.395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ROUND(2.98,3)</f>
        <v>2.98</v>
      </c>
      <c r="D74" s="31">
        <f>F74</f>
        <v>2.98</v>
      </c>
      <c r="E74" s="31">
        <f>F74</f>
        <v>2.98</v>
      </c>
      <c r="F74" s="31">
        <f>ROUND(2.98,3)</f>
        <v>2.98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ROUND(2.64,3)</f>
        <v>2.64</v>
      </c>
      <c r="D76" s="31">
        <f>F76</f>
        <v>2.64</v>
      </c>
      <c r="E76" s="31">
        <f>F76</f>
        <v>2.64</v>
      </c>
      <c r="F76" s="31">
        <f>ROUND(2.64,3)</f>
        <v>2.64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ROUND(9.18,3)</f>
        <v>9.18</v>
      </c>
      <c r="D78" s="31">
        <f>F78</f>
        <v>9.18</v>
      </c>
      <c r="E78" s="31">
        <f>F78</f>
        <v>9.18</v>
      </c>
      <c r="F78" s="31">
        <f>ROUND(9.18,3)</f>
        <v>9.18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ROUND(2.96,5)</f>
        <v>2.96</v>
      </c>
      <c r="D80" s="30">
        <f>F80</f>
        <v>130.01055</v>
      </c>
      <c r="E80" s="30">
        <f>F80</f>
        <v>130.01055</v>
      </c>
      <c r="F80" s="30">
        <f>ROUND(130.01055,5)</f>
        <v>130.01055</v>
      </c>
      <c r="G80" s="28"/>
      <c r="H80" s="42"/>
    </row>
    <row r="81" spans="1:8" ht="12.75" customHeight="1">
      <c r="A81" s="26">
        <v>43405</v>
      </c>
      <c r="B81" s="27"/>
      <c r="C81" s="30">
        <f>ROUND(2.96,5)</f>
        <v>2.96</v>
      </c>
      <c r="D81" s="30">
        <f>F81</f>
        <v>132.36106</v>
      </c>
      <c r="E81" s="30">
        <f>F81</f>
        <v>132.36106</v>
      </c>
      <c r="F81" s="30">
        <f>ROUND(132.36106,5)</f>
        <v>132.36106</v>
      </c>
      <c r="G81" s="28"/>
      <c r="H81" s="42"/>
    </row>
    <row r="82" spans="1:8" ht="12.75" customHeight="1">
      <c r="A82" s="26">
        <v>43503</v>
      </c>
      <c r="B82" s="27"/>
      <c r="C82" s="30">
        <f>ROUND(2.96,5)</f>
        <v>2.96</v>
      </c>
      <c r="D82" s="30">
        <f>F82</f>
        <v>133.5353</v>
      </c>
      <c r="E82" s="30">
        <f>F82</f>
        <v>133.5353</v>
      </c>
      <c r="F82" s="30">
        <f>ROUND(133.5353,5)</f>
        <v>133.5353</v>
      </c>
      <c r="G82" s="28"/>
      <c r="H82" s="42"/>
    </row>
    <row r="83" spans="1:8" ht="12.75" customHeight="1">
      <c r="A83" s="26">
        <v>43587</v>
      </c>
      <c r="B83" s="27"/>
      <c r="C83" s="30">
        <f>ROUND(2.96,5)</f>
        <v>2.96</v>
      </c>
      <c r="D83" s="30">
        <f>F83</f>
        <v>135.80377</v>
      </c>
      <c r="E83" s="30">
        <f>F83</f>
        <v>135.80377</v>
      </c>
      <c r="F83" s="30">
        <f>ROUND(135.80377,5)</f>
        <v>135.80377</v>
      </c>
      <c r="G83" s="28"/>
      <c r="H83" s="42"/>
    </row>
    <row r="84" spans="1:8" ht="12.75" customHeight="1">
      <c r="A84" s="26">
        <v>43678</v>
      </c>
      <c r="B84" s="27"/>
      <c r="C84" s="30">
        <f>ROUND(2.96,5)</f>
        <v>2.96</v>
      </c>
      <c r="D84" s="30">
        <f>F84</f>
        <v>138.28002</v>
      </c>
      <c r="E84" s="30">
        <f>F84</f>
        <v>138.28002</v>
      </c>
      <c r="F84" s="30">
        <f>ROUND(138.28002,5)</f>
        <v>138.28002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ROUND(99.26519,5)</f>
        <v>99.26519</v>
      </c>
      <c r="D86" s="30">
        <f>F86</f>
        <v>99.63464</v>
      </c>
      <c r="E86" s="30">
        <f>F86</f>
        <v>99.63464</v>
      </c>
      <c r="F86" s="30">
        <f>ROUND(99.63464,5)</f>
        <v>99.63464</v>
      </c>
      <c r="G86" s="28"/>
      <c r="H86" s="42"/>
    </row>
    <row r="87" spans="1:8" ht="12.75" customHeight="1">
      <c r="A87" s="26">
        <v>43405</v>
      </c>
      <c r="B87" s="27"/>
      <c r="C87" s="30">
        <f>ROUND(99.26519,5)</f>
        <v>99.26519</v>
      </c>
      <c r="D87" s="30">
        <f>F87</f>
        <v>100.38641</v>
      </c>
      <c r="E87" s="30">
        <f>F87</f>
        <v>100.38641</v>
      </c>
      <c r="F87" s="30">
        <f>ROUND(100.38641,5)</f>
        <v>100.38641</v>
      </c>
      <c r="G87" s="28"/>
      <c r="H87" s="42"/>
    </row>
    <row r="88" spans="1:8" ht="12.75" customHeight="1">
      <c r="A88" s="26">
        <v>43503</v>
      </c>
      <c r="B88" s="27"/>
      <c r="C88" s="30">
        <f>ROUND(99.26519,5)</f>
        <v>99.26519</v>
      </c>
      <c r="D88" s="30">
        <f>F88</f>
        <v>102.34903</v>
      </c>
      <c r="E88" s="30">
        <f>F88</f>
        <v>102.34903</v>
      </c>
      <c r="F88" s="30">
        <f>ROUND(102.34903,5)</f>
        <v>102.34903</v>
      </c>
      <c r="G88" s="28"/>
      <c r="H88" s="42"/>
    </row>
    <row r="89" spans="1:8" ht="12.75" customHeight="1">
      <c r="A89" s="26">
        <v>43587</v>
      </c>
      <c r="B89" s="27"/>
      <c r="C89" s="30">
        <f>ROUND(99.26519,5)</f>
        <v>99.26519</v>
      </c>
      <c r="D89" s="30">
        <f>F89</f>
        <v>103.01707</v>
      </c>
      <c r="E89" s="30">
        <f>F89</f>
        <v>103.01707</v>
      </c>
      <c r="F89" s="30">
        <f>ROUND(103.01707,5)</f>
        <v>103.01707</v>
      </c>
      <c r="G89" s="28"/>
      <c r="H89" s="42"/>
    </row>
    <row r="90" spans="1:8" ht="12.75" customHeight="1">
      <c r="A90" s="26">
        <v>43678</v>
      </c>
      <c r="B90" s="27"/>
      <c r="C90" s="30">
        <f>ROUND(99.26519,5)</f>
        <v>99.26519</v>
      </c>
      <c r="D90" s="30">
        <f>F90</f>
        <v>104.89527</v>
      </c>
      <c r="E90" s="30">
        <f>F90</f>
        <v>104.89527</v>
      </c>
      <c r="F90" s="30">
        <f>ROUND(104.89527,5)</f>
        <v>104.89527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ROUND(9.08,5)</f>
        <v>9.08</v>
      </c>
      <c r="D92" s="30">
        <f>F92</f>
        <v>9.09376</v>
      </c>
      <c r="E92" s="30">
        <f>F92</f>
        <v>9.09376</v>
      </c>
      <c r="F92" s="30">
        <f>ROUND(9.09376,5)</f>
        <v>9.09376</v>
      </c>
      <c r="G92" s="28"/>
      <c r="H92" s="42"/>
    </row>
    <row r="93" spans="1:8" ht="12.75" customHeight="1">
      <c r="A93" s="26">
        <v>43405</v>
      </c>
      <c r="B93" s="27"/>
      <c r="C93" s="30">
        <f>ROUND(9.08,5)</f>
        <v>9.08</v>
      </c>
      <c r="D93" s="30">
        <f>F93</f>
        <v>9.15557</v>
      </c>
      <c r="E93" s="30">
        <f>F93</f>
        <v>9.15557</v>
      </c>
      <c r="F93" s="30">
        <f>ROUND(9.15557,5)</f>
        <v>9.15557</v>
      </c>
      <c r="G93" s="28"/>
      <c r="H93" s="42"/>
    </row>
    <row r="94" spans="1:8" ht="12.75" customHeight="1">
      <c r="A94" s="26">
        <v>43503</v>
      </c>
      <c r="B94" s="27"/>
      <c r="C94" s="30">
        <f>ROUND(9.08,5)</f>
        <v>9.08</v>
      </c>
      <c r="D94" s="30">
        <f>F94</f>
        <v>9.22538</v>
      </c>
      <c r="E94" s="30">
        <f>F94</f>
        <v>9.22538</v>
      </c>
      <c r="F94" s="30">
        <f>ROUND(9.22538,5)</f>
        <v>9.22538</v>
      </c>
      <c r="G94" s="28"/>
      <c r="H94" s="42"/>
    </row>
    <row r="95" spans="1:8" ht="12.75" customHeight="1">
      <c r="A95" s="26">
        <v>43587</v>
      </c>
      <c r="B95" s="27"/>
      <c r="C95" s="30">
        <f>ROUND(9.08,5)</f>
        <v>9.08</v>
      </c>
      <c r="D95" s="30">
        <f>F95</f>
        <v>9.28841</v>
      </c>
      <c r="E95" s="30">
        <f>F95</f>
        <v>9.28841</v>
      </c>
      <c r="F95" s="30">
        <f>ROUND(9.28841,5)</f>
        <v>9.28841</v>
      </c>
      <c r="G95" s="28"/>
      <c r="H95" s="42"/>
    </row>
    <row r="96" spans="1:8" ht="12.75" customHeight="1">
      <c r="A96" s="26">
        <v>43678</v>
      </c>
      <c r="B96" s="27"/>
      <c r="C96" s="30">
        <f>ROUND(9.08,5)</f>
        <v>9.08</v>
      </c>
      <c r="D96" s="30">
        <f>F96</f>
        <v>9.3536</v>
      </c>
      <c r="E96" s="30">
        <f>F96</f>
        <v>9.3536</v>
      </c>
      <c r="F96" s="30">
        <f>ROUND(9.3536,5)</f>
        <v>9.3536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ROUND(9.29,5)</f>
        <v>9.29</v>
      </c>
      <c r="D98" s="30">
        <f>F98</f>
        <v>9.30377</v>
      </c>
      <c r="E98" s="30">
        <f>F98</f>
        <v>9.30377</v>
      </c>
      <c r="F98" s="30">
        <f>ROUND(9.30377,5)</f>
        <v>9.30377</v>
      </c>
      <c r="G98" s="28"/>
      <c r="H98" s="42"/>
    </row>
    <row r="99" spans="1:8" ht="12.75" customHeight="1">
      <c r="A99" s="26">
        <v>43405</v>
      </c>
      <c r="B99" s="27"/>
      <c r="C99" s="30">
        <f>ROUND(9.29,5)</f>
        <v>9.29</v>
      </c>
      <c r="D99" s="30">
        <f>F99</f>
        <v>9.37025</v>
      </c>
      <c r="E99" s="30">
        <f>F99</f>
        <v>9.37025</v>
      </c>
      <c r="F99" s="30">
        <f>ROUND(9.37025,5)</f>
        <v>9.37025</v>
      </c>
      <c r="G99" s="28"/>
      <c r="H99" s="42"/>
    </row>
    <row r="100" spans="1:8" ht="12.75" customHeight="1">
      <c r="A100" s="26">
        <v>43503</v>
      </c>
      <c r="B100" s="27"/>
      <c r="C100" s="30">
        <f>ROUND(9.29,5)</f>
        <v>9.29</v>
      </c>
      <c r="D100" s="30">
        <f>F100</f>
        <v>9.44408</v>
      </c>
      <c r="E100" s="30">
        <f>F100</f>
        <v>9.44408</v>
      </c>
      <c r="F100" s="30">
        <f>ROUND(9.44408,5)</f>
        <v>9.44408</v>
      </c>
      <c r="G100" s="28"/>
      <c r="H100" s="42"/>
    </row>
    <row r="101" spans="1:8" ht="12.75" customHeight="1">
      <c r="A101" s="26">
        <v>43587</v>
      </c>
      <c r="B101" s="27"/>
      <c r="C101" s="30">
        <f>ROUND(9.29,5)</f>
        <v>9.29</v>
      </c>
      <c r="D101" s="30">
        <f>F101</f>
        <v>9.50664</v>
      </c>
      <c r="E101" s="30">
        <f>F101</f>
        <v>9.50664</v>
      </c>
      <c r="F101" s="30">
        <f>ROUND(9.50664,5)</f>
        <v>9.50664</v>
      </c>
      <c r="G101" s="28"/>
      <c r="H101" s="42"/>
    </row>
    <row r="102" spans="1:8" ht="12.75" customHeight="1">
      <c r="A102" s="26">
        <v>43678</v>
      </c>
      <c r="B102" s="27"/>
      <c r="C102" s="30">
        <f>ROUND(9.29,5)</f>
        <v>9.29</v>
      </c>
      <c r="D102" s="30">
        <f>F102</f>
        <v>9.56935</v>
      </c>
      <c r="E102" s="30">
        <f>F102</f>
        <v>9.56935</v>
      </c>
      <c r="F102" s="30">
        <f>ROUND(9.56935,5)</f>
        <v>9.56935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ROUND(102.095,5)</f>
        <v>102.095</v>
      </c>
      <c r="D104" s="30">
        <f>F104</f>
        <v>102.47503</v>
      </c>
      <c r="E104" s="30">
        <f>F104</f>
        <v>102.47503</v>
      </c>
      <c r="F104" s="30">
        <f>ROUND(102.47503,5)</f>
        <v>102.47503</v>
      </c>
      <c r="G104" s="28"/>
      <c r="H104" s="42"/>
    </row>
    <row r="105" spans="1:8" ht="12.75" customHeight="1">
      <c r="A105" s="26">
        <v>43405</v>
      </c>
      <c r="B105" s="27"/>
      <c r="C105" s="30">
        <f>ROUND(102.095,5)</f>
        <v>102.095</v>
      </c>
      <c r="D105" s="30">
        <f>F105</f>
        <v>103.20664</v>
      </c>
      <c r="E105" s="30">
        <f>F105</f>
        <v>103.20664</v>
      </c>
      <c r="F105" s="30">
        <f>ROUND(103.20664,5)</f>
        <v>103.20664</v>
      </c>
      <c r="G105" s="28"/>
      <c r="H105" s="42"/>
    </row>
    <row r="106" spans="1:8" ht="12.75" customHeight="1">
      <c r="A106" s="26">
        <v>43503</v>
      </c>
      <c r="B106" s="27"/>
      <c r="C106" s="30">
        <f>ROUND(102.095,5)</f>
        <v>102.095</v>
      </c>
      <c r="D106" s="30">
        <f>F106</f>
        <v>105.22447</v>
      </c>
      <c r="E106" s="30">
        <f>F106</f>
        <v>105.22447</v>
      </c>
      <c r="F106" s="30">
        <f>ROUND(105.22447,5)</f>
        <v>105.22447</v>
      </c>
      <c r="G106" s="28"/>
      <c r="H106" s="42"/>
    </row>
    <row r="107" spans="1:8" ht="12.75" customHeight="1">
      <c r="A107" s="26">
        <v>43587</v>
      </c>
      <c r="B107" s="27"/>
      <c r="C107" s="30">
        <f>ROUND(102.095,5)</f>
        <v>102.095</v>
      </c>
      <c r="D107" s="30">
        <f>F107</f>
        <v>105.86861</v>
      </c>
      <c r="E107" s="30">
        <f>F107</f>
        <v>105.86861</v>
      </c>
      <c r="F107" s="30">
        <f>ROUND(105.86861,5)</f>
        <v>105.86861</v>
      </c>
      <c r="G107" s="28"/>
      <c r="H107" s="42"/>
    </row>
    <row r="108" spans="1:8" ht="12.75" customHeight="1">
      <c r="A108" s="26">
        <v>43678</v>
      </c>
      <c r="B108" s="27"/>
      <c r="C108" s="30">
        <f>ROUND(102.095,5)</f>
        <v>102.095</v>
      </c>
      <c r="D108" s="30">
        <f>F108</f>
        <v>107.7989</v>
      </c>
      <c r="E108" s="30">
        <f>F108</f>
        <v>107.7989</v>
      </c>
      <c r="F108" s="30">
        <f>ROUND(107.7989,5)</f>
        <v>107.7989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ROUND(9.485,5)</f>
        <v>9.485</v>
      </c>
      <c r="D110" s="30">
        <f>F110</f>
        <v>9.49865</v>
      </c>
      <c r="E110" s="30">
        <f>F110</f>
        <v>9.49865</v>
      </c>
      <c r="F110" s="30">
        <f>ROUND(9.49865,5)</f>
        <v>9.49865</v>
      </c>
      <c r="G110" s="28"/>
      <c r="H110" s="42"/>
    </row>
    <row r="111" spans="1:8" ht="12.75" customHeight="1">
      <c r="A111" s="26">
        <v>43405</v>
      </c>
      <c r="B111" s="27"/>
      <c r="C111" s="30">
        <f>ROUND(9.485,5)</f>
        <v>9.485</v>
      </c>
      <c r="D111" s="30">
        <f>F111</f>
        <v>9.56016</v>
      </c>
      <c r="E111" s="30">
        <f>F111</f>
        <v>9.56016</v>
      </c>
      <c r="F111" s="30">
        <f>ROUND(9.56016,5)</f>
        <v>9.56016</v>
      </c>
      <c r="G111" s="28"/>
      <c r="H111" s="42"/>
    </row>
    <row r="112" spans="1:8" ht="12.75" customHeight="1">
      <c r="A112" s="26">
        <v>43503</v>
      </c>
      <c r="B112" s="27"/>
      <c r="C112" s="30">
        <f>ROUND(9.485,5)</f>
        <v>9.485</v>
      </c>
      <c r="D112" s="30">
        <f>F112</f>
        <v>9.62906</v>
      </c>
      <c r="E112" s="30">
        <f>F112</f>
        <v>9.62906</v>
      </c>
      <c r="F112" s="30">
        <f>ROUND(9.62906,5)</f>
        <v>9.62906</v>
      </c>
      <c r="G112" s="28"/>
      <c r="H112" s="42"/>
    </row>
    <row r="113" spans="1:8" ht="12.75" customHeight="1">
      <c r="A113" s="26">
        <v>43587</v>
      </c>
      <c r="B113" s="27"/>
      <c r="C113" s="30">
        <f>ROUND(9.485,5)</f>
        <v>9.485</v>
      </c>
      <c r="D113" s="30">
        <f>F113</f>
        <v>9.69031</v>
      </c>
      <c r="E113" s="30">
        <f>F113</f>
        <v>9.69031</v>
      </c>
      <c r="F113" s="30">
        <f>ROUND(9.69031,5)</f>
        <v>9.69031</v>
      </c>
      <c r="G113" s="28"/>
      <c r="H113" s="42"/>
    </row>
    <row r="114" spans="1:8" ht="12.75" customHeight="1">
      <c r="A114" s="26">
        <v>43678</v>
      </c>
      <c r="B114" s="27"/>
      <c r="C114" s="30">
        <f>ROUND(9.485,5)</f>
        <v>9.485</v>
      </c>
      <c r="D114" s="30">
        <f>F114</f>
        <v>9.75414</v>
      </c>
      <c r="E114" s="30">
        <f>F114</f>
        <v>9.75414</v>
      </c>
      <c r="F114" s="30">
        <f>ROUND(9.75414,5)</f>
        <v>9.75414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121.47697</v>
      </c>
      <c r="E116" s="30">
        <f>F116</f>
        <v>121.47697</v>
      </c>
      <c r="F116" s="30">
        <f>ROUND(121.47697,5)</f>
        <v>121.47697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123.67318</v>
      </c>
      <c r="E117" s="30">
        <f>F117</f>
        <v>123.67318</v>
      </c>
      <c r="F117" s="30">
        <f>ROUND(123.67318,5)</f>
        <v>123.67318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124.50085</v>
      </c>
      <c r="E118" s="30">
        <f>F118</f>
        <v>124.50085</v>
      </c>
      <c r="F118" s="30">
        <f>ROUND(124.50085,5)</f>
        <v>124.50085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126.61573</v>
      </c>
      <c r="E119" s="30">
        <f>F119</f>
        <v>126.61573</v>
      </c>
      <c r="F119" s="30">
        <f>ROUND(126.61573,5)</f>
        <v>126.61573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128.92435</v>
      </c>
      <c r="E120" s="30">
        <f>F120</f>
        <v>128.92435</v>
      </c>
      <c r="F120" s="30">
        <f>ROUND(128.92435,5)</f>
        <v>128.92435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ROUND(9.57,5)</f>
        <v>9.57</v>
      </c>
      <c r="D122" s="30">
        <f>F122</f>
        <v>9.58366</v>
      </c>
      <c r="E122" s="30">
        <f>F122</f>
        <v>9.58366</v>
      </c>
      <c r="F122" s="30">
        <f>ROUND(9.58366,5)</f>
        <v>9.58366</v>
      </c>
      <c r="G122" s="28"/>
      <c r="H122" s="42"/>
    </row>
    <row r="123" spans="1:8" ht="12.75" customHeight="1">
      <c r="A123" s="26">
        <v>43405</v>
      </c>
      <c r="B123" s="27"/>
      <c r="C123" s="30">
        <f>ROUND(9.57,5)</f>
        <v>9.57</v>
      </c>
      <c r="D123" s="30">
        <f>F123</f>
        <v>9.64526</v>
      </c>
      <c r="E123" s="30">
        <f>F123</f>
        <v>9.64526</v>
      </c>
      <c r="F123" s="30">
        <f>ROUND(9.64526,5)</f>
        <v>9.64526</v>
      </c>
      <c r="G123" s="28"/>
      <c r="H123" s="42"/>
    </row>
    <row r="124" spans="1:8" ht="12.75" customHeight="1">
      <c r="A124" s="26">
        <v>43503</v>
      </c>
      <c r="B124" s="27"/>
      <c r="C124" s="30">
        <f>ROUND(9.57,5)</f>
        <v>9.57</v>
      </c>
      <c r="D124" s="30">
        <f>F124</f>
        <v>9.7142</v>
      </c>
      <c r="E124" s="30">
        <f>F124</f>
        <v>9.7142</v>
      </c>
      <c r="F124" s="30">
        <f>ROUND(9.7142,5)</f>
        <v>9.7142</v>
      </c>
      <c r="G124" s="28"/>
      <c r="H124" s="42"/>
    </row>
    <row r="125" spans="1:8" ht="12.75" customHeight="1">
      <c r="A125" s="26">
        <v>43587</v>
      </c>
      <c r="B125" s="27"/>
      <c r="C125" s="30">
        <f>ROUND(9.57,5)</f>
        <v>9.57</v>
      </c>
      <c r="D125" s="30">
        <f>F125</f>
        <v>9.77534</v>
      </c>
      <c r="E125" s="30">
        <f>F125</f>
        <v>9.77534</v>
      </c>
      <c r="F125" s="30">
        <f>ROUND(9.77534,5)</f>
        <v>9.77534</v>
      </c>
      <c r="G125" s="28"/>
      <c r="H125" s="42"/>
    </row>
    <row r="126" spans="1:8" ht="12.75" customHeight="1">
      <c r="A126" s="26">
        <v>43678</v>
      </c>
      <c r="B126" s="27"/>
      <c r="C126" s="30">
        <f>ROUND(9.57,5)</f>
        <v>9.57</v>
      </c>
      <c r="D126" s="30">
        <f>F126</f>
        <v>9.83916</v>
      </c>
      <c r="E126" s="30">
        <f>F126</f>
        <v>9.83916</v>
      </c>
      <c r="F126" s="30">
        <f>ROUND(9.83916,5)</f>
        <v>9.83916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ROUND(9.6,5)</f>
        <v>9.6</v>
      </c>
      <c r="D128" s="30">
        <f>F128</f>
        <v>9.61319</v>
      </c>
      <c r="E128" s="30">
        <f>F128</f>
        <v>9.61319</v>
      </c>
      <c r="F128" s="30">
        <f>ROUND(9.61319,5)</f>
        <v>9.61319</v>
      </c>
      <c r="G128" s="28"/>
      <c r="H128" s="42"/>
    </row>
    <row r="129" spans="1:8" ht="12.75" customHeight="1">
      <c r="A129" s="26">
        <v>43405</v>
      </c>
      <c r="B129" s="27"/>
      <c r="C129" s="30">
        <f>ROUND(9.6,5)</f>
        <v>9.6</v>
      </c>
      <c r="D129" s="30">
        <f>F129</f>
        <v>9.6726</v>
      </c>
      <c r="E129" s="30">
        <f>F129</f>
        <v>9.6726</v>
      </c>
      <c r="F129" s="30">
        <f>ROUND(9.6726,5)</f>
        <v>9.6726</v>
      </c>
      <c r="G129" s="28"/>
      <c r="H129" s="42"/>
    </row>
    <row r="130" spans="1:8" ht="12.75" customHeight="1">
      <c r="A130" s="26">
        <v>43503</v>
      </c>
      <c r="B130" s="27"/>
      <c r="C130" s="30">
        <f>ROUND(9.6,5)</f>
        <v>9.6</v>
      </c>
      <c r="D130" s="30">
        <f>F130</f>
        <v>9.73895</v>
      </c>
      <c r="E130" s="30">
        <f>F130</f>
        <v>9.73895</v>
      </c>
      <c r="F130" s="30">
        <f>ROUND(9.73895,5)</f>
        <v>9.73895</v>
      </c>
      <c r="G130" s="28"/>
      <c r="H130" s="42"/>
    </row>
    <row r="131" spans="1:8" ht="12.75" customHeight="1">
      <c r="A131" s="26">
        <v>43587</v>
      </c>
      <c r="B131" s="27"/>
      <c r="C131" s="30">
        <f>ROUND(9.6,5)</f>
        <v>9.6</v>
      </c>
      <c r="D131" s="30">
        <f>F131</f>
        <v>9.79767</v>
      </c>
      <c r="E131" s="30">
        <f>F131</f>
        <v>9.79767</v>
      </c>
      <c r="F131" s="30">
        <f>ROUND(9.79767,5)</f>
        <v>9.79767</v>
      </c>
      <c r="G131" s="28"/>
      <c r="H131" s="42"/>
    </row>
    <row r="132" spans="1:8" ht="12.75" customHeight="1">
      <c r="A132" s="26">
        <v>43678</v>
      </c>
      <c r="B132" s="27"/>
      <c r="C132" s="30">
        <f>ROUND(9.6,5)</f>
        <v>9.6</v>
      </c>
      <c r="D132" s="30">
        <f>F132</f>
        <v>9.85888</v>
      </c>
      <c r="E132" s="30">
        <f>F132</f>
        <v>9.85888</v>
      </c>
      <c r="F132" s="30">
        <f>ROUND(9.85888,5)</f>
        <v>9.85888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ROUND(114.88619,5)</f>
        <v>114.88619</v>
      </c>
      <c r="D134" s="30">
        <f>F134</f>
        <v>115.31371</v>
      </c>
      <c r="E134" s="30">
        <f>F134</f>
        <v>115.31371</v>
      </c>
      <c r="F134" s="30">
        <f>ROUND(115.31371,5)</f>
        <v>115.31371</v>
      </c>
      <c r="G134" s="28"/>
      <c r="H134" s="42"/>
    </row>
    <row r="135" spans="1:8" ht="12.75" customHeight="1">
      <c r="A135" s="26">
        <v>43405</v>
      </c>
      <c r="B135" s="27"/>
      <c r="C135" s="30">
        <f>ROUND(114.88619,5)</f>
        <v>114.88619</v>
      </c>
      <c r="D135" s="30">
        <f>F135</f>
        <v>115.74933</v>
      </c>
      <c r="E135" s="30">
        <f>F135</f>
        <v>115.74933</v>
      </c>
      <c r="F135" s="30">
        <f>ROUND(115.74933,5)</f>
        <v>115.74933</v>
      </c>
      <c r="G135" s="28"/>
      <c r="H135" s="42"/>
    </row>
    <row r="136" spans="1:8" ht="12.75" customHeight="1">
      <c r="A136" s="26">
        <v>43503</v>
      </c>
      <c r="B136" s="27"/>
      <c r="C136" s="30">
        <f>ROUND(114.88619,5)</f>
        <v>114.88619</v>
      </c>
      <c r="D136" s="30">
        <f>F136</f>
        <v>118.01228</v>
      </c>
      <c r="E136" s="30">
        <f>F136</f>
        <v>118.01228</v>
      </c>
      <c r="F136" s="30">
        <f>ROUND(118.01228,5)</f>
        <v>118.01228</v>
      </c>
      <c r="G136" s="28"/>
      <c r="H136" s="42"/>
    </row>
    <row r="137" spans="1:8" ht="12.75" customHeight="1">
      <c r="A137" s="26">
        <v>43587</v>
      </c>
      <c r="B137" s="27"/>
      <c r="C137" s="30">
        <f>ROUND(114.88619,5)</f>
        <v>114.88619</v>
      </c>
      <c r="D137" s="30">
        <f>F137</f>
        <v>118.33469</v>
      </c>
      <c r="E137" s="30">
        <f>F137</f>
        <v>118.33469</v>
      </c>
      <c r="F137" s="30">
        <f>ROUND(118.33469,5)</f>
        <v>118.33469</v>
      </c>
      <c r="G137" s="28"/>
      <c r="H137" s="42"/>
    </row>
    <row r="138" spans="1:8" ht="12.75" customHeight="1">
      <c r="A138" s="26">
        <v>43678</v>
      </c>
      <c r="B138" s="27"/>
      <c r="C138" s="30">
        <f>ROUND(114.88619,5)</f>
        <v>114.88619</v>
      </c>
      <c r="D138" s="30">
        <f>F138</f>
        <v>120.49191</v>
      </c>
      <c r="E138" s="30">
        <f>F138</f>
        <v>120.49191</v>
      </c>
      <c r="F138" s="30">
        <f>ROUND(120.49191,5)</f>
        <v>120.49191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ROUND(3.14,5)</f>
        <v>3.14</v>
      </c>
      <c r="D140" s="30">
        <f>F140</f>
        <v>120.10027</v>
      </c>
      <c r="E140" s="30">
        <f>F140</f>
        <v>120.10027</v>
      </c>
      <c r="F140" s="30">
        <f>ROUND(120.10027,5)</f>
        <v>120.10027</v>
      </c>
      <c r="G140" s="28"/>
      <c r="H140" s="42"/>
    </row>
    <row r="141" spans="1:8" ht="12.75" customHeight="1">
      <c r="A141" s="26">
        <v>43405</v>
      </c>
      <c r="B141" s="27"/>
      <c r="C141" s="30">
        <f>ROUND(3.14,5)</f>
        <v>3.14</v>
      </c>
      <c r="D141" s="30">
        <f>F141</f>
        <v>122.27185</v>
      </c>
      <c r="E141" s="30">
        <f>F141</f>
        <v>122.27185</v>
      </c>
      <c r="F141" s="30">
        <f>ROUND(122.27185,5)</f>
        <v>122.27185</v>
      </c>
      <c r="G141" s="28"/>
      <c r="H141" s="42"/>
    </row>
    <row r="142" spans="1:8" ht="12.75" customHeight="1">
      <c r="A142" s="26">
        <v>43503</v>
      </c>
      <c r="B142" s="27"/>
      <c r="C142" s="30">
        <f>ROUND(3.14,5)</f>
        <v>3.14</v>
      </c>
      <c r="D142" s="30">
        <f>F142</f>
        <v>122.8908</v>
      </c>
      <c r="E142" s="30">
        <f>F142</f>
        <v>122.8908</v>
      </c>
      <c r="F142" s="30">
        <f>ROUND(122.8908,5)</f>
        <v>122.8908</v>
      </c>
      <c r="G142" s="28"/>
      <c r="H142" s="42"/>
    </row>
    <row r="143" spans="1:8" ht="12.75" customHeight="1">
      <c r="A143" s="26">
        <v>43587</v>
      </c>
      <c r="B143" s="27"/>
      <c r="C143" s="30">
        <f>ROUND(3.14,5)</f>
        <v>3.14</v>
      </c>
      <c r="D143" s="30">
        <f>F143</f>
        <v>124.97837</v>
      </c>
      <c r="E143" s="30">
        <f>F143</f>
        <v>124.97837</v>
      </c>
      <c r="F143" s="30">
        <f>ROUND(124.97837,5)</f>
        <v>124.97837</v>
      </c>
      <c r="G143" s="28"/>
      <c r="H143" s="42"/>
    </row>
    <row r="144" spans="1:8" ht="12.75" customHeight="1">
      <c r="A144" s="26">
        <v>43678</v>
      </c>
      <c r="B144" s="27"/>
      <c r="C144" s="30">
        <f>ROUND(3.14,5)</f>
        <v>3.14</v>
      </c>
      <c r="D144" s="30">
        <f>F144</f>
        <v>127.25719</v>
      </c>
      <c r="E144" s="30">
        <f>F144</f>
        <v>127.25719</v>
      </c>
      <c r="F144" s="30">
        <f>ROUND(127.25719,5)</f>
        <v>127.25719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ROUND(3.76,5)</f>
        <v>3.76</v>
      </c>
      <c r="D146" s="30">
        <f>F146</f>
        <v>127.19798</v>
      </c>
      <c r="E146" s="30">
        <f>F146</f>
        <v>127.19798</v>
      </c>
      <c r="F146" s="30">
        <f>ROUND(127.19798,5)</f>
        <v>127.19798</v>
      </c>
      <c r="G146" s="28"/>
      <c r="H146" s="42"/>
    </row>
    <row r="147" spans="1:8" ht="12.75" customHeight="1">
      <c r="A147" s="26">
        <v>43405</v>
      </c>
      <c r="B147" s="27"/>
      <c r="C147" s="30">
        <f>ROUND(3.76,5)</f>
        <v>3.76</v>
      </c>
      <c r="D147" s="30">
        <f>F147</f>
        <v>127.68703</v>
      </c>
      <c r="E147" s="30">
        <f>F147</f>
        <v>127.68703</v>
      </c>
      <c r="F147" s="30">
        <f>ROUND(127.68703,5)</f>
        <v>127.68703</v>
      </c>
      <c r="G147" s="28"/>
      <c r="H147" s="42"/>
    </row>
    <row r="148" spans="1:8" ht="12.75" customHeight="1">
      <c r="A148" s="26">
        <v>43503</v>
      </c>
      <c r="B148" s="27"/>
      <c r="C148" s="30">
        <f>ROUND(3.76,5)</f>
        <v>3.76</v>
      </c>
      <c r="D148" s="30">
        <f>F148</f>
        <v>130.18318</v>
      </c>
      <c r="E148" s="30">
        <f>F148</f>
        <v>130.18318</v>
      </c>
      <c r="F148" s="30">
        <f>ROUND(130.18318,5)</f>
        <v>130.18318</v>
      </c>
      <c r="G148" s="28"/>
      <c r="H148" s="42"/>
    </row>
    <row r="149" spans="1:8" ht="12.75" customHeight="1">
      <c r="A149" s="26">
        <v>43587</v>
      </c>
      <c r="B149" s="27"/>
      <c r="C149" s="30">
        <f>ROUND(3.76,5)</f>
        <v>3.76</v>
      </c>
      <c r="D149" s="30">
        <f>F149</f>
        <v>132.39474</v>
      </c>
      <c r="E149" s="30">
        <f>F149</f>
        <v>132.39474</v>
      </c>
      <c r="F149" s="30">
        <f>ROUND(132.39474,5)</f>
        <v>132.39474</v>
      </c>
      <c r="G149" s="28"/>
      <c r="H149" s="42"/>
    </row>
    <row r="150" spans="1:8" ht="12.75" customHeight="1">
      <c r="A150" s="26">
        <v>43678</v>
      </c>
      <c r="B150" s="27"/>
      <c r="C150" s="30">
        <f>ROUND(3.76,5)</f>
        <v>3.76</v>
      </c>
      <c r="D150" s="30">
        <f>F150</f>
        <v>134.809</v>
      </c>
      <c r="E150" s="30">
        <f>F150</f>
        <v>134.809</v>
      </c>
      <c r="F150" s="30">
        <f>ROUND(134.809,5)</f>
        <v>134.809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ROUND(10.725,5)</f>
        <v>10.725</v>
      </c>
      <c r="D152" s="30">
        <f>F152</f>
        <v>10.74752</v>
      </c>
      <c r="E152" s="30">
        <f>F152</f>
        <v>10.74752</v>
      </c>
      <c r="F152" s="30">
        <f>ROUND(10.74752,5)</f>
        <v>10.74752</v>
      </c>
      <c r="G152" s="28"/>
      <c r="H152" s="42"/>
    </row>
    <row r="153" spans="1:8" ht="12.75" customHeight="1">
      <c r="A153" s="26">
        <v>43405</v>
      </c>
      <c r="B153" s="27"/>
      <c r="C153" s="30">
        <f>ROUND(10.725,5)</f>
        <v>10.725</v>
      </c>
      <c r="D153" s="30">
        <f>F153</f>
        <v>10.85829</v>
      </c>
      <c r="E153" s="30">
        <f>F153</f>
        <v>10.85829</v>
      </c>
      <c r="F153" s="30">
        <f>ROUND(10.85829,5)</f>
        <v>10.85829</v>
      </c>
      <c r="G153" s="28"/>
      <c r="H153" s="42"/>
    </row>
    <row r="154" spans="1:8" ht="12.75" customHeight="1">
      <c r="A154" s="26">
        <v>43503</v>
      </c>
      <c r="B154" s="27"/>
      <c r="C154" s="30">
        <f>ROUND(10.725,5)</f>
        <v>10.725</v>
      </c>
      <c r="D154" s="30">
        <f>F154</f>
        <v>10.98432</v>
      </c>
      <c r="E154" s="30">
        <f>F154</f>
        <v>10.98432</v>
      </c>
      <c r="F154" s="30">
        <f>ROUND(10.98432,5)</f>
        <v>10.98432</v>
      </c>
      <c r="G154" s="28"/>
      <c r="H154" s="42"/>
    </row>
    <row r="155" spans="1:8" ht="12.75" customHeight="1">
      <c r="A155" s="26">
        <v>43587</v>
      </c>
      <c r="B155" s="27"/>
      <c r="C155" s="30">
        <f>ROUND(10.725,5)</f>
        <v>10.725</v>
      </c>
      <c r="D155" s="30">
        <f>F155</f>
        <v>11.08999</v>
      </c>
      <c r="E155" s="30">
        <f>F155</f>
        <v>11.08999</v>
      </c>
      <c r="F155" s="30">
        <f>ROUND(11.08999,5)</f>
        <v>11.08999</v>
      </c>
      <c r="G155" s="28"/>
      <c r="H155" s="42"/>
    </row>
    <row r="156" spans="1:8" ht="12.75" customHeight="1">
      <c r="A156" s="26">
        <v>43678</v>
      </c>
      <c r="B156" s="27"/>
      <c r="C156" s="30">
        <f>ROUND(10.725,5)</f>
        <v>10.725</v>
      </c>
      <c r="D156" s="30">
        <f>F156</f>
        <v>11.20087</v>
      </c>
      <c r="E156" s="30">
        <f>F156</f>
        <v>11.20087</v>
      </c>
      <c r="F156" s="30">
        <f>ROUND(11.20087,5)</f>
        <v>11.20087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ROUND(10.95,5)</f>
        <v>10.95</v>
      </c>
      <c r="D158" s="30">
        <f>F158</f>
        <v>10.97206</v>
      </c>
      <c r="E158" s="30">
        <f>F158</f>
        <v>10.97206</v>
      </c>
      <c r="F158" s="30">
        <f>ROUND(10.97206,5)</f>
        <v>10.97206</v>
      </c>
      <c r="G158" s="28"/>
      <c r="H158" s="42"/>
    </row>
    <row r="159" spans="1:8" ht="12.75" customHeight="1">
      <c r="A159" s="26">
        <v>43405</v>
      </c>
      <c r="B159" s="27"/>
      <c r="C159" s="30">
        <f>ROUND(10.95,5)</f>
        <v>10.95</v>
      </c>
      <c r="D159" s="30">
        <f>F159</f>
        <v>11.07985</v>
      </c>
      <c r="E159" s="30">
        <f>F159</f>
        <v>11.07985</v>
      </c>
      <c r="F159" s="30">
        <f>ROUND(11.07985,5)</f>
        <v>11.07985</v>
      </c>
      <c r="G159" s="28"/>
      <c r="H159" s="42"/>
    </row>
    <row r="160" spans="1:8" ht="12.75" customHeight="1">
      <c r="A160" s="26">
        <v>43503</v>
      </c>
      <c r="B160" s="27"/>
      <c r="C160" s="30">
        <f>ROUND(10.95,5)</f>
        <v>10.95</v>
      </c>
      <c r="D160" s="30">
        <f>F160</f>
        <v>11.19827</v>
      </c>
      <c r="E160" s="30">
        <f>F160</f>
        <v>11.19827</v>
      </c>
      <c r="F160" s="30">
        <f>ROUND(11.19827,5)</f>
        <v>11.19827</v>
      </c>
      <c r="G160" s="28"/>
      <c r="H160" s="42"/>
    </row>
    <row r="161" spans="1:8" ht="12.75" customHeight="1">
      <c r="A161" s="26">
        <v>43587</v>
      </c>
      <c r="B161" s="27"/>
      <c r="C161" s="30">
        <f>ROUND(10.95,5)</f>
        <v>10.95</v>
      </c>
      <c r="D161" s="30">
        <f>F161</f>
        <v>11.30262</v>
      </c>
      <c r="E161" s="30">
        <f>F161</f>
        <v>11.30262</v>
      </c>
      <c r="F161" s="30">
        <f>ROUND(11.30262,5)</f>
        <v>11.30262</v>
      </c>
      <c r="G161" s="28"/>
      <c r="H161" s="42"/>
    </row>
    <row r="162" spans="1:8" ht="12.75" customHeight="1">
      <c r="A162" s="26">
        <v>43678</v>
      </c>
      <c r="B162" s="27"/>
      <c r="C162" s="30">
        <f>ROUND(10.95,5)</f>
        <v>10.95</v>
      </c>
      <c r="D162" s="30">
        <f>F162</f>
        <v>11.40987</v>
      </c>
      <c r="E162" s="30">
        <f>F162</f>
        <v>11.40987</v>
      </c>
      <c r="F162" s="30">
        <f>ROUND(11.40987,5)</f>
        <v>11.40987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ROUND(8.12,5)</f>
        <v>8.12</v>
      </c>
      <c r="D164" s="30">
        <f>F164</f>
        <v>8.13211</v>
      </c>
      <c r="E164" s="30">
        <f>F164</f>
        <v>8.13211</v>
      </c>
      <c r="F164" s="30">
        <f>ROUND(8.13211,5)</f>
        <v>8.13211</v>
      </c>
      <c r="G164" s="28"/>
      <c r="H164" s="42"/>
    </row>
    <row r="165" spans="1:8" ht="12.75" customHeight="1">
      <c r="A165" s="26">
        <v>43405</v>
      </c>
      <c r="B165" s="27"/>
      <c r="C165" s="30">
        <f>ROUND(8.12,5)</f>
        <v>8.12</v>
      </c>
      <c r="D165" s="30">
        <f>F165</f>
        <v>8.19662</v>
      </c>
      <c r="E165" s="30">
        <f>F165</f>
        <v>8.19662</v>
      </c>
      <c r="F165" s="30">
        <f>ROUND(8.19662,5)</f>
        <v>8.19662</v>
      </c>
      <c r="G165" s="28"/>
      <c r="H165" s="42"/>
    </row>
    <row r="166" spans="1:8" ht="12.75" customHeight="1">
      <c r="A166" s="26">
        <v>43503</v>
      </c>
      <c r="B166" s="27"/>
      <c r="C166" s="30">
        <f>ROUND(8.12,5)</f>
        <v>8.12</v>
      </c>
      <c r="D166" s="30">
        <f>F166</f>
        <v>8.27461</v>
      </c>
      <c r="E166" s="30">
        <f>F166</f>
        <v>8.27461</v>
      </c>
      <c r="F166" s="30">
        <f>ROUND(8.27461,5)</f>
        <v>8.27461</v>
      </c>
      <c r="G166" s="28"/>
      <c r="H166" s="42"/>
    </row>
    <row r="167" spans="1:8" ht="12.75" customHeight="1">
      <c r="A167" s="26">
        <v>43587</v>
      </c>
      <c r="B167" s="27"/>
      <c r="C167" s="30">
        <f>ROUND(8.12,5)</f>
        <v>8.12</v>
      </c>
      <c r="D167" s="30">
        <f>F167</f>
        <v>8.3346</v>
      </c>
      <c r="E167" s="30">
        <f>F167</f>
        <v>8.3346</v>
      </c>
      <c r="F167" s="30">
        <f>ROUND(8.3346,5)</f>
        <v>8.3346</v>
      </c>
      <c r="G167" s="28"/>
      <c r="H167" s="42"/>
    </row>
    <row r="168" spans="1:8" ht="12.75" customHeight="1">
      <c r="A168" s="26">
        <v>43678</v>
      </c>
      <c r="B168" s="27"/>
      <c r="C168" s="30">
        <f>ROUND(8.12,5)</f>
        <v>8.12</v>
      </c>
      <c r="D168" s="30">
        <f>F168</f>
        <v>8.3904</v>
      </c>
      <c r="E168" s="30">
        <f>F168</f>
        <v>8.3904</v>
      </c>
      <c r="F168" s="30">
        <f>ROUND(8.3904,5)</f>
        <v>8.3904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ROUND(9.42,5)</f>
        <v>9.42</v>
      </c>
      <c r="D170" s="30">
        <f>F170</f>
        <v>9.43343</v>
      </c>
      <c r="E170" s="30">
        <f>F170</f>
        <v>9.43343</v>
      </c>
      <c r="F170" s="30">
        <f>ROUND(9.43343,5)</f>
        <v>9.43343</v>
      </c>
      <c r="G170" s="28"/>
      <c r="H170" s="42"/>
    </row>
    <row r="171" spans="1:8" ht="12.75" customHeight="1">
      <c r="A171" s="26">
        <v>43405</v>
      </c>
      <c r="B171" s="27"/>
      <c r="C171" s="30">
        <f>ROUND(9.42,5)</f>
        <v>9.42</v>
      </c>
      <c r="D171" s="30">
        <f>F171</f>
        <v>9.49993</v>
      </c>
      <c r="E171" s="30">
        <f>F171</f>
        <v>9.49993</v>
      </c>
      <c r="F171" s="30">
        <f>ROUND(9.49993,5)</f>
        <v>9.49993</v>
      </c>
      <c r="G171" s="28"/>
      <c r="H171" s="42"/>
    </row>
    <row r="172" spans="1:8" ht="12.75" customHeight="1">
      <c r="A172" s="26">
        <v>43503</v>
      </c>
      <c r="B172" s="27"/>
      <c r="C172" s="30">
        <f>ROUND(9.42,5)</f>
        <v>9.42</v>
      </c>
      <c r="D172" s="30">
        <f>F172</f>
        <v>9.575</v>
      </c>
      <c r="E172" s="30">
        <f>F172</f>
        <v>9.575</v>
      </c>
      <c r="F172" s="30">
        <f>ROUND(9.575,5)</f>
        <v>9.575</v>
      </c>
      <c r="G172" s="28"/>
      <c r="H172" s="42"/>
    </row>
    <row r="173" spans="1:8" ht="12.75" customHeight="1">
      <c r="A173" s="26">
        <v>43587</v>
      </c>
      <c r="B173" s="27"/>
      <c r="C173" s="30">
        <f>ROUND(9.42,5)</f>
        <v>9.42</v>
      </c>
      <c r="D173" s="30">
        <f>F173</f>
        <v>9.63462</v>
      </c>
      <c r="E173" s="30">
        <f>F173</f>
        <v>9.63462</v>
      </c>
      <c r="F173" s="30">
        <f>ROUND(9.63462,5)</f>
        <v>9.63462</v>
      </c>
      <c r="G173" s="28"/>
      <c r="H173" s="42"/>
    </row>
    <row r="174" spans="1:8" ht="12.75" customHeight="1">
      <c r="A174" s="26">
        <v>43678</v>
      </c>
      <c r="B174" s="27"/>
      <c r="C174" s="30">
        <f>ROUND(9.42,5)</f>
        <v>9.42</v>
      </c>
      <c r="D174" s="30">
        <f>F174</f>
        <v>9.69529</v>
      </c>
      <c r="E174" s="30">
        <f>F174</f>
        <v>9.69529</v>
      </c>
      <c r="F174" s="30">
        <f>ROUND(9.69529,5)</f>
        <v>9.69529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ROUND(8.69,5)</f>
        <v>8.69</v>
      </c>
      <c r="D176" s="30">
        <f>F176</f>
        <v>8.70337</v>
      </c>
      <c r="E176" s="30">
        <f>F176</f>
        <v>8.70337</v>
      </c>
      <c r="F176" s="30">
        <f>ROUND(8.70337,5)</f>
        <v>8.70337</v>
      </c>
      <c r="G176" s="28"/>
      <c r="H176" s="42"/>
    </row>
    <row r="177" spans="1:8" ht="12.75" customHeight="1">
      <c r="A177" s="26">
        <v>43405</v>
      </c>
      <c r="B177" s="27"/>
      <c r="C177" s="30">
        <f>ROUND(8.69,5)</f>
        <v>8.69</v>
      </c>
      <c r="D177" s="30">
        <f>F177</f>
        <v>8.76867</v>
      </c>
      <c r="E177" s="30">
        <f>F177</f>
        <v>8.76867</v>
      </c>
      <c r="F177" s="30">
        <f>ROUND(8.76867,5)</f>
        <v>8.76867</v>
      </c>
      <c r="G177" s="28"/>
      <c r="H177" s="42"/>
    </row>
    <row r="178" spans="1:8" ht="12.75" customHeight="1">
      <c r="A178" s="26">
        <v>43503</v>
      </c>
      <c r="B178" s="27"/>
      <c r="C178" s="30">
        <f>ROUND(8.69,5)</f>
        <v>8.69</v>
      </c>
      <c r="D178" s="30">
        <f>F178</f>
        <v>8.84263</v>
      </c>
      <c r="E178" s="30">
        <f>F178</f>
        <v>8.84263</v>
      </c>
      <c r="F178" s="30">
        <f>ROUND(8.84263,5)</f>
        <v>8.84263</v>
      </c>
      <c r="G178" s="28"/>
      <c r="H178" s="42"/>
    </row>
    <row r="179" spans="1:8" ht="12.75" customHeight="1">
      <c r="A179" s="26">
        <v>43587</v>
      </c>
      <c r="B179" s="27"/>
      <c r="C179" s="30">
        <f>ROUND(8.69,5)</f>
        <v>8.69</v>
      </c>
      <c r="D179" s="30">
        <f>F179</f>
        <v>8.90716</v>
      </c>
      <c r="E179" s="30">
        <f>F179</f>
        <v>8.90716</v>
      </c>
      <c r="F179" s="30">
        <f>ROUND(8.90716,5)</f>
        <v>8.90716</v>
      </c>
      <c r="G179" s="28"/>
      <c r="H179" s="42"/>
    </row>
    <row r="180" spans="1:8" ht="12.75" customHeight="1">
      <c r="A180" s="26">
        <v>43678</v>
      </c>
      <c r="B180" s="27"/>
      <c r="C180" s="30">
        <f>ROUND(8.69,5)</f>
        <v>8.69</v>
      </c>
      <c r="D180" s="30">
        <f>F180</f>
        <v>8.97098</v>
      </c>
      <c r="E180" s="30">
        <f>F180</f>
        <v>8.97098</v>
      </c>
      <c r="F180" s="30">
        <f>ROUND(8.97098,5)</f>
        <v>8.97098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ROUND(2.74,5)</f>
        <v>2.74</v>
      </c>
      <c r="D182" s="30">
        <f>F182</f>
        <v>297.37097</v>
      </c>
      <c r="E182" s="30">
        <f>F182</f>
        <v>297.37097</v>
      </c>
      <c r="F182" s="30">
        <f>ROUND(297.37097,5)</f>
        <v>297.37097</v>
      </c>
      <c r="G182" s="28"/>
      <c r="H182" s="42"/>
    </row>
    <row r="183" spans="1:8" ht="12.75" customHeight="1">
      <c r="A183" s="26">
        <v>43405</v>
      </c>
      <c r="B183" s="27"/>
      <c r="C183" s="30">
        <f>ROUND(2.74,5)</f>
        <v>2.74</v>
      </c>
      <c r="D183" s="30">
        <f>F183</f>
        <v>302.74735</v>
      </c>
      <c r="E183" s="30">
        <f>F183</f>
        <v>302.74735</v>
      </c>
      <c r="F183" s="30">
        <f>ROUND(302.74735,5)</f>
        <v>302.74735</v>
      </c>
      <c r="G183" s="28"/>
      <c r="H183" s="42"/>
    </row>
    <row r="184" spans="1:8" ht="12.75" customHeight="1">
      <c r="A184" s="26">
        <v>43503</v>
      </c>
      <c r="B184" s="27"/>
      <c r="C184" s="30">
        <f>ROUND(2.74,5)</f>
        <v>2.74</v>
      </c>
      <c r="D184" s="30">
        <f>F184</f>
        <v>301.30991</v>
      </c>
      <c r="E184" s="30">
        <f>F184</f>
        <v>301.30991</v>
      </c>
      <c r="F184" s="30">
        <f>ROUND(301.30991,5)</f>
        <v>301.30991</v>
      </c>
      <c r="G184" s="28"/>
      <c r="H184" s="42"/>
    </row>
    <row r="185" spans="1:8" ht="12.75" customHeight="1">
      <c r="A185" s="26">
        <v>43587</v>
      </c>
      <c r="B185" s="27"/>
      <c r="C185" s="30">
        <f>ROUND(2.74,5)</f>
        <v>2.74</v>
      </c>
      <c r="D185" s="30">
        <f>F185</f>
        <v>306.42817</v>
      </c>
      <c r="E185" s="30">
        <f>F185</f>
        <v>306.42817</v>
      </c>
      <c r="F185" s="30">
        <f>ROUND(306.42817,5)</f>
        <v>306.42817</v>
      </c>
      <c r="G185" s="28"/>
      <c r="H185" s="42"/>
    </row>
    <row r="186" spans="1:8" ht="12.75" customHeight="1">
      <c r="A186" s="26">
        <v>43678</v>
      </c>
      <c r="B186" s="27"/>
      <c r="C186" s="30">
        <f>ROUND(2.74,5)</f>
        <v>2.74</v>
      </c>
      <c r="D186" s="30">
        <f>F186</f>
        <v>312.01497</v>
      </c>
      <c r="E186" s="30">
        <f>F186</f>
        <v>312.01497</v>
      </c>
      <c r="F186" s="30">
        <f>ROUND(312.01497,5)</f>
        <v>312.01497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ROUND(3.04,5)</f>
        <v>3.04</v>
      </c>
      <c r="D188" s="30">
        <f>F188</f>
        <v>232.0794</v>
      </c>
      <c r="E188" s="30">
        <f>F188</f>
        <v>232.0794</v>
      </c>
      <c r="F188" s="30">
        <f>ROUND(232.0794,5)</f>
        <v>232.0794</v>
      </c>
      <c r="G188" s="28"/>
      <c r="H188" s="42"/>
    </row>
    <row r="189" spans="1:8" ht="12.75" customHeight="1">
      <c r="A189" s="26">
        <v>43405</v>
      </c>
      <c r="B189" s="27"/>
      <c r="C189" s="30">
        <f>ROUND(3.04,5)</f>
        <v>3.04</v>
      </c>
      <c r="D189" s="30">
        <f>F189</f>
        <v>236.27536</v>
      </c>
      <c r="E189" s="30">
        <f>F189</f>
        <v>236.27536</v>
      </c>
      <c r="F189" s="30">
        <f>ROUND(236.27536,5)</f>
        <v>236.27536</v>
      </c>
      <c r="G189" s="28"/>
      <c r="H189" s="42"/>
    </row>
    <row r="190" spans="1:8" ht="12.75" customHeight="1">
      <c r="A190" s="26">
        <v>43503</v>
      </c>
      <c r="B190" s="27"/>
      <c r="C190" s="30">
        <f>ROUND(3.04,5)</f>
        <v>3.04</v>
      </c>
      <c r="D190" s="30">
        <f>F190</f>
        <v>236.98735</v>
      </c>
      <c r="E190" s="30">
        <f>F190</f>
        <v>236.98735</v>
      </c>
      <c r="F190" s="30">
        <f>ROUND(236.98735,5)</f>
        <v>236.98735</v>
      </c>
      <c r="G190" s="28"/>
      <c r="H190" s="42"/>
    </row>
    <row r="191" spans="1:8" ht="12.75" customHeight="1">
      <c r="A191" s="26">
        <v>43587</v>
      </c>
      <c r="B191" s="27"/>
      <c r="C191" s="30">
        <f>ROUND(3.04,5)</f>
        <v>3.04</v>
      </c>
      <c r="D191" s="30">
        <f>F191</f>
        <v>241.01323</v>
      </c>
      <c r="E191" s="30">
        <f>F191</f>
        <v>241.01323</v>
      </c>
      <c r="F191" s="30">
        <f>ROUND(241.01323,5)</f>
        <v>241.01323</v>
      </c>
      <c r="G191" s="28"/>
      <c r="H191" s="42"/>
    </row>
    <row r="192" spans="1:8" ht="12.75" customHeight="1">
      <c r="A192" s="26">
        <v>43678</v>
      </c>
      <c r="B192" s="27"/>
      <c r="C192" s="30">
        <f>ROUND(3.04,5)</f>
        <v>3.04</v>
      </c>
      <c r="D192" s="30">
        <f>F192</f>
        <v>245.40783</v>
      </c>
      <c r="E192" s="30">
        <f>F192</f>
        <v>245.40783</v>
      </c>
      <c r="F192" s="30">
        <f>ROUND(245.40783,5)</f>
        <v>245.40783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ROUND(6.7,5)</f>
        <v>6.7</v>
      </c>
      <c r="D196" s="30">
        <f>F196</f>
        <v>6.62557</v>
      </c>
      <c r="E196" s="30">
        <f>F196</f>
        <v>6.62557</v>
      </c>
      <c r="F196" s="30">
        <f>ROUND(6.62557,5)</f>
        <v>6.62557</v>
      </c>
      <c r="G196" s="28"/>
      <c r="H196" s="42"/>
    </row>
    <row r="197" spans="1:8" ht="12.75" customHeight="1">
      <c r="A197" s="26">
        <v>43405</v>
      </c>
      <c r="B197" s="27"/>
      <c r="C197" s="30">
        <f>ROUND(6.7,5)</f>
        <v>6.7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ROUND(6.7,5)</f>
        <v>6.7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ROUND(6.7,5)</f>
        <v>6.7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ROUND(6.7,5)</f>
        <v>6.7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ROUND(7.41,5)</f>
        <v>7.41</v>
      </c>
      <c r="D202" s="30">
        <f>F202</f>
        <v>7.41667</v>
      </c>
      <c r="E202" s="30">
        <f>F202</f>
        <v>7.41667</v>
      </c>
      <c r="F202" s="30">
        <f>ROUND(7.41667,5)</f>
        <v>7.41667</v>
      </c>
      <c r="G202" s="28"/>
      <c r="H202" s="42"/>
    </row>
    <row r="203" spans="1:8" ht="12.75" customHeight="1">
      <c r="A203" s="26">
        <v>43405</v>
      </c>
      <c r="B203" s="27"/>
      <c r="C203" s="30">
        <f>ROUND(7.41,5)</f>
        <v>7.41</v>
      </c>
      <c r="D203" s="30">
        <f>F203</f>
        <v>7.44609</v>
      </c>
      <c r="E203" s="30">
        <f>F203</f>
        <v>7.44609</v>
      </c>
      <c r="F203" s="30">
        <f>ROUND(7.44609,5)</f>
        <v>7.44609</v>
      </c>
      <c r="G203" s="28"/>
      <c r="H203" s="42"/>
    </row>
    <row r="204" spans="1:8" ht="12.75" customHeight="1">
      <c r="A204" s="26">
        <v>43503</v>
      </c>
      <c r="B204" s="27"/>
      <c r="C204" s="30">
        <f>ROUND(7.41,5)</f>
        <v>7.41</v>
      </c>
      <c r="D204" s="30">
        <f>F204</f>
        <v>7.49022</v>
      </c>
      <c r="E204" s="30">
        <f>F204</f>
        <v>7.49022</v>
      </c>
      <c r="F204" s="30">
        <f>ROUND(7.49022,5)</f>
        <v>7.49022</v>
      </c>
      <c r="G204" s="28"/>
      <c r="H204" s="42"/>
    </row>
    <row r="205" spans="1:8" ht="12.75" customHeight="1">
      <c r="A205" s="26">
        <v>43587</v>
      </c>
      <c r="B205" s="27"/>
      <c r="C205" s="30">
        <f>ROUND(7.41,5)</f>
        <v>7.41</v>
      </c>
      <c r="D205" s="30">
        <f>F205</f>
        <v>7.551</v>
      </c>
      <c r="E205" s="30">
        <f>F205</f>
        <v>7.551</v>
      </c>
      <c r="F205" s="30">
        <f>ROUND(7.551,5)</f>
        <v>7.551</v>
      </c>
      <c r="G205" s="28"/>
      <c r="H205" s="42"/>
    </row>
    <row r="206" spans="1:8" ht="12.75" customHeight="1">
      <c r="A206" s="26">
        <v>43678</v>
      </c>
      <c r="B206" s="27"/>
      <c r="C206" s="30">
        <f>ROUND(7.41,5)</f>
        <v>7.41</v>
      </c>
      <c r="D206" s="30">
        <f>F206</f>
        <v>7.47702</v>
      </c>
      <c r="E206" s="30">
        <f>F206</f>
        <v>7.47702</v>
      </c>
      <c r="F206" s="30">
        <f>ROUND(7.47702,5)</f>
        <v>7.47702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ROUND(7.705,5)</f>
        <v>7.705</v>
      </c>
      <c r="D208" s="30">
        <f>F208</f>
        <v>7.71609</v>
      </c>
      <c r="E208" s="30">
        <f>F208</f>
        <v>7.71609</v>
      </c>
      <c r="F208" s="30">
        <f>ROUND(7.71609,5)</f>
        <v>7.71609</v>
      </c>
      <c r="G208" s="28"/>
      <c r="H208" s="42"/>
    </row>
    <row r="209" spans="1:8" ht="12.75" customHeight="1">
      <c r="A209" s="26">
        <v>43405</v>
      </c>
      <c r="B209" s="27"/>
      <c r="C209" s="30">
        <f>ROUND(7.705,5)</f>
        <v>7.705</v>
      </c>
      <c r="D209" s="30">
        <f>F209</f>
        <v>7.77202</v>
      </c>
      <c r="E209" s="30">
        <f>F209</f>
        <v>7.77202</v>
      </c>
      <c r="F209" s="30">
        <f>ROUND(7.77202,5)</f>
        <v>7.77202</v>
      </c>
      <c r="G209" s="28"/>
      <c r="H209" s="42"/>
    </row>
    <row r="210" spans="1:8" ht="12.75" customHeight="1">
      <c r="A210" s="26">
        <v>43503</v>
      </c>
      <c r="B210" s="27"/>
      <c r="C210" s="30">
        <f>ROUND(7.705,5)</f>
        <v>7.705</v>
      </c>
      <c r="D210" s="30">
        <f>F210</f>
        <v>7.843</v>
      </c>
      <c r="E210" s="30">
        <f>F210</f>
        <v>7.843</v>
      </c>
      <c r="F210" s="30">
        <f>ROUND(7.843,5)</f>
        <v>7.843</v>
      </c>
      <c r="G210" s="28"/>
      <c r="H210" s="42"/>
    </row>
    <row r="211" spans="1:8" ht="12.75" customHeight="1">
      <c r="A211" s="26">
        <v>43587</v>
      </c>
      <c r="B211" s="27"/>
      <c r="C211" s="30">
        <f>ROUND(7.705,5)</f>
        <v>7.705</v>
      </c>
      <c r="D211" s="30">
        <f>F211</f>
        <v>7.90433</v>
      </c>
      <c r="E211" s="30">
        <f>F211</f>
        <v>7.90433</v>
      </c>
      <c r="F211" s="30">
        <f>ROUND(7.90433,5)</f>
        <v>7.90433</v>
      </c>
      <c r="G211" s="28"/>
      <c r="H211" s="42"/>
    </row>
    <row r="212" spans="1:8" ht="12.75" customHeight="1">
      <c r="A212" s="26">
        <v>43678</v>
      </c>
      <c r="B212" s="27"/>
      <c r="C212" s="30">
        <f>ROUND(7.705,5)</f>
        <v>7.705</v>
      </c>
      <c r="D212" s="30">
        <f>F212</f>
        <v>7.95321</v>
      </c>
      <c r="E212" s="30">
        <f>F212</f>
        <v>7.95321</v>
      </c>
      <c r="F212" s="30">
        <f>ROUND(7.95321,5)</f>
        <v>7.95321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ROUND(9.395,5)</f>
        <v>9.395</v>
      </c>
      <c r="D214" s="30">
        <f>F214</f>
        <v>9.40718</v>
      </c>
      <c r="E214" s="30">
        <f>F214</f>
        <v>9.40718</v>
      </c>
      <c r="F214" s="30">
        <f>ROUND(9.40718,5)</f>
        <v>9.40718</v>
      </c>
      <c r="G214" s="28"/>
      <c r="H214" s="42"/>
    </row>
    <row r="215" spans="1:8" ht="12.75" customHeight="1">
      <c r="A215" s="26">
        <v>43405</v>
      </c>
      <c r="B215" s="27"/>
      <c r="C215" s="30">
        <f>ROUND(9.395,5)</f>
        <v>9.395</v>
      </c>
      <c r="D215" s="30">
        <f>F215</f>
        <v>9.46571</v>
      </c>
      <c r="E215" s="30">
        <f>F215</f>
        <v>9.46571</v>
      </c>
      <c r="F215" s="30">
        <f>ROUND(9.46571,5)</f>
        <v>9.46571</v>
      </c>
      <c r="G215" s="28"/>
      <c r="H215" s="42"/>
    </row>
    <row r="216" spans="1:8" ht="12.75" customHeight="1">
      <c r="A216" s="26">
        <v>43503</v>
      </c>
      <c r="B216" s="27"/>
      <c r="C216" s="30">
        <f>ROUND(9.395,5)</f>
        <v>9.395</v>
      </c>
      <c r="D216" s="30">
        <f>F216</f>
        <v>9.5302</v>
      </c>
      <c r="E216" s="30">
        <f>F216</f>
        <v>9.5302</v>
      </c>
      <c r="F216" s="30">
        <f>ROUND(9.5302,5)</f>
        <v>9.5302</v>
      </c>
      <c r="G216" s="28"/>
      <c r="H216" s="42"/>
    </row>
    <row r="217" spans="1:8" ht="12.75" customHeight="1">
      <c r="A217" s="26">
        <v>43587</v>
      </c>
      <c r="B217" s="27"/>
      <c r="C217" s="30">
        <f>ROUND(9.395,5)</f>
        <v>9.395</v>
      </c>
      <c r="D217" s="30">
        <f>F217</f>
        <v>9.58445</v>
      </c>
      <c r="E217" s="30">
        <f>F217</f>
        <v>9.58445</v>
      </c>
      <c r="F217" s="30">
        <f>ROUND(9.58445,5)</f>
        <v>9.58445</v>
      </c>
      <c r="G217" s="28"/>
      <c r="H217" s="42"/>
    </row>
    <row r="218" spans="1:8" ht="12.75" customHeight="1">
      <c r="A218" s="26">
        <v>43678</v>
      </c>
      <c r="B218" s="27"/>
      <c r="C218" s="30">
        <f>ROUND(9.395,5)</f>
        <v>9.395</v>
      </c>
      <c r="D218" s="30">
        <f>F218</f>
        <v>9.6386</v>
      </c>
      <c r="E218" s="30">
        <f>F218</f>
        <v>9.6386</v>
      </c>
      <c r="F218" s="30">
        <f>ROUND(9.6386,5)</f>
        <v>9.6386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ROUND(2.98,5)</f>
        <v>2.98</v>
      </c>
      <c r="D220" s="30">
        <f>F220</f>
        <v>184.92254</v>
      </c>
      <c r="E220" s="30">
        <f>F220</f>
        <v>184.92254</v>
      </c>
      <c r="F220" s="30">
        <f>ROUND(184.92254,5)</f>
        <v>184.92254</v>
      </c>
      <c r="G220" s="28"/>
      <c r="H220" s="42"/>
    </row>
    <row r="221" spans="1:8" ht="12.75" customHeight="1">
      <c r="A221" s="26">
        <v>43405</v>
      </c>
      <c r="B221" s="27"/>
      <c r="C221" s="30">
        <f>ROUND(2.98,5)</f>
        <v>2.98</v>
      </c>
      <c r="D221" s="30">
        <f>F221</f>
        <v>185.76573</v>
      </c>
      <c r="E221" s="30">
        <f>F221</f>
        <v>185.76573</v>
      </c>
      <c r="F221" s="30">
        <f>ROUND(185.76573,5)</f>
        <v>185.76573</v>
      </c>
      <c r="G221" s="28"/>
      <c r="H221" s="42"/>
    </row>
    <row r="222" spans="1:8" ht="12.75" customHeight="1">
      <c r="A222" s="26">
        <v>43503</v>
      </c>
      <c r="B222" s="27"/>
      <c r="C222" s="30">
        <f>ROUND(2.98,5)</f>
        <v>2.98</v>
      </c>
      <c r="D222" s="30">
        <f>F222</f>
        <v>189.39758</v>
      </c>
      <c r="E222" s="30">
        <f>F222</f>
        <v>189.39758</v>
      </c>
      <c r="F222" s="30">
        <f>ROUND(189.39758,5)</f>
        <v>189.39758</v>
      </c>
      <c r="G222" s="28"/>
      <c r="H222" s="42"/>
    </row>
    <row r="223" spans="1:8" ht="12.75" customHeight="1">
      <c r="A223" s="26">
        <v>43587</v>
      </c>
      <c r="B223" s="27"/>
      <c r="C223" s="30">
        <f>ROUND(2.98,5)</f>
        <v>2.98</v>
      </c>
      <c r="D223" s="30">
        <f>F223</f>
        <v>190.0647</v>
      </c>
      <c r="E223" s="30">
        <f>F223</f>
        <v>190.0647</v>
      </c>
      <c r="F223" s="30">
        <f>ROUND(190.0647,5)</f>
        <v>190.0647</v>
      </c>
      <c r="G223" s="28"/>
      <c r="H223" s="42"/>
    </row>
    <row r="224" spans="1:8" ht="12.75" customHeight="1">
      <c r="A224" s="26">
        <v>43678</v>
      </c>
      <c r="B224" s="27"/>
      <c r="C224" s="30">
        <f>ROUND(2.98,5)</f>
        <v>2.98</v>
      </c>
      <c r="D224" s="30">
        <f>F224</f>
        <v>193.52963</v>
      </c>
      <c r="E224" s="30">
        <f>F224</f>
        <v>193.52963</v>
      </c>
      <c r="F224" s="30">
        <f>ROUND(193.52963,5)</f>
        <v>193.52963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ROUND(2.64,5)</f>
        <v>2.64</v>
      </c>
      <c r="D226" s="30">
        <f>F226</f>
        <v>153.25178</v>
      </c>
      <c r="E226" s="30">
        <f>F226</f>
        <v>153.25178</v>
      </c>
      <c r="F226" s="30">
        <f>ROUND(153.25178,5)</f>
        <v>153.25178</v>
      </c>
      <c r="G226" s="28"/>
      <c r="H226" s="42"/>
    </row>
    <row r="227" spans="1:8" ht="12.75" customHeight="1">
      <c r="A227" s="26">
        <v>43405</v>
      </c>
      <c r="B227" s="27"/>
      <c r="C227" s="30">
        <f>ROUND(2.64,5)</f>
        <v>2.64</v>
      </c>
      <c r="D227" s="30">
        <f>F227</f>
        <v>156.02251</v>
      </c>
      <c r="E227" s="30">
        <f>F227</f>
        <v>156.02251</v>
      </c>
      <c r="F227" s="30">
        <f>ROUND(156.02251,5)</f>
        <v>156.02251</v>
      </c>
      <c r="G227" s="28"/>
      <c r="H227" s="42"/>
    </row>
    <row r="228" spans="1:8" ht="12.75" customHeight="1">
      <c r="A228" s="26">
        <v>43503</v>
      </c>
      <c r="B228" s="27"/>
      <c r="C228" s="30">
        <f>ROUND(2.64,5)</f>
        <v>2.64</v>
      </c>
      <c r="D228" s="30">
        <f>F228</f>
        <v>156.91905</v>
      </c>
      <c r="E228" s="30">
        <f>F228</f>
        <v>156.91905</v>
      </c>
      <c r="F228" s="30">
        <f>ROUND(156.91905,5)</f>
        <v>156.91905</v>
      </c>
      <c r="G228" s="28"/>
      <c r="H228" s="42"/>
    </row>
    <row r="229" spans="1:8" ht="12.75" customHeight="1">
      <c r="A229" s="26">
        <v>43587</v>
      </c>
      <c r="B229" s="27"/>
      <c r="C229" s="30">
        <f>ROUND(2.64,5)</f>
        <v>2.64</v>
      </c>
      <c r="D229" s="30">
        <f>F229</f>
        <v>159.58468</v>
      </c>
      <c r="E229" s="30">
        <f>F229</f>
        <v>159.58468</v>
      </c>
      <c r="F229" s="30">
        <f>ROUND(159.58468,5)</f>
        <v>159.58468</v>
      </c>
      <c r="G229" s="28"/>
      <c r="H229" s="42"/>
    </row>
    <row r="230" spans="1:8" ht="12.75" customHeight="1">
      <c r="A230" s="26">
        <v>43678</v>
      </c>
      <c r="B230" s="27"/>
      <c r="C230" s="30">
        <f>ROUND(2.64,5)</f>
        <v>2.64</v>
      </c>
      <c r="D230" s="30">
        <f>F230</f>
        <v>162.49437</v>
      </c>
      <c r="E230" s="30">
        <f>F230</f>
        <v>162.49437</v>
      </c>
      <c r="F230" s="30">
        <f>ROUND(162.49437,5)</f>
        <v>162.49437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ROUND(9.18,5)</f>
        <v>9.18</v>
      </c>
      <c r="D232" s="30">
        <f>F232</f>
        <v>9.19285</v>
      </c>
      <c r="E232" s="30">
        <f>F232</f>
        <v>9.19285</v>
      </c>
      <c r="F232" s="30">
        <f>ROUND(9.19285,5)</f>
        <v>9.19285</v>
      </c>
      <c r="G232" s="28"/>
      <c r="H232" s="42"/>
    </row>
    <row r="233" spans="1:8" ht="12.75" customHeight="1">
      <c r="A233" s="26">
        <v>43405</v>
      </c>
      <c r="B233" s="27"/>
      <c r="C233" s="30">
        <f>ROUND(9.18,5)</f>
        <v>9.18</v>
      </c>
      <c r="D233" s="30">
        <f>F233</f>
        <v>9.25698</v>
      </c>
      <c r="E233" s="30">
        <f>F233</f>
        <v>9.25698</v>
      </c>
      <c r="F233" s="30">
        <f>ROUND(9.25698,5)</f>
        <v>9.25698</v>
      </c>
      <c r="G233" s="28"/>
      <c r="H233" s="42"/>
    </row>
    <row r="234" spans="1:8" ht="12.75" customHeight="1">
      <c r="A234" s="26">
        <v>43503</v>
      </c>
      <c r="B234" s="27"/>
      <c r="C234" s="30">
        <f>ROUND(9.18,5)</f>
        <v>9.18</v>
      </c>
      <c r="D234" s="30">
        <f>F234</f>
        <v>9.32966</v>
      </c>
      <c r="E234" s="30">
        <f>F234</f>
        <v>9.32966</v>
      </c>
      <c r="F234" s="30">
        <f>ROUND(9.32966,5)</f>
        <v>9.32966</v>
      </c>
      <c r="G234" s="28"/>
      <c r="H234" s="42"/>
    </row>
    <row r="235" spans="1:8" ht="12.75" customHeight="1">
      <c r="A235" s="26">
        <v>43587</v>
      </c>
      <c r="B235" s="27"/>
      <c r="C235" s="30">
        <f>ROUND(9.18,5)</f>
        <v>9.18</v>
      </c>
      <c r="D235" s="30">
        <f>F235</f>
        <v>9.38723</v>
      </c>
      <c r="E235" s="30">
        <f>F235</f>
        <v>9.38723</v>
      </c>
      <c r="F235" s="30">
        <f>ROUND(9.38723,5)</f>
        <v>9.38723</v>
      </c>
      <c r="G235" s="28"/>
      <c r="H235" s="42"/>
    </row>
    <row r="236" spans="1:8" ht="12.75" customHeight="1">
      <c r="A236" s="26">
        <v>43678</v>
      </c>
      <c r="B236" s="27"/>
      <c r="C236" s="30">
        <f>ROUND(9.18,5)</f>
        <v>9.18</v>
      </c>
      <c r="D236" s="30">
        <f>F236</f>
        <v>9.44526</v>
      </c>
      <c r="E236" s="30">
        <f>F236</f>
        <v>9.44526</v>
      </c>
      <c r="F236" s="30">
        <f>ROUND(9.44526,5)</f>
        <v>9.44526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ROUND(9.56,5)</f>
        <v>9.56</v>
      </c>
      <c r="D238" s="30">
        <f>F238</f>
        <v>9.57217</v>
      </c>
      <c r="E238" s="30">
        <f>F238</f>
        <v>9.57217</v>
      </c>
      <c r="F238" s="30">
        <f>ROUND(9.57217,5)</f>
        <v>9.57217</v>
      </c>
      <c r="G238" s="28"/>
      <c r="H238" s="42"/>
    </row>
    <row r="239" spans="1:8" ht="12.75" customHeight="1">
      <c r="A239" s="26">
        <v>43405</v>
      </c>
      <c r="B239" s="27"/>
      <c r="C239" s="30">
        <f>ROUND(9.56,5)</f>
        <v>9.56</v>
      </c>
      <c r="D239" s="30">
        <f>F239</f>
        <v>9.63212</v>
      </c>
      <c r="E239" s="30">
        <f>F239</f>
        <v>9.63212</v>
      </c>
      <c r="F239" s="30">
        <f>ROUND(9.63212,5)</f>
        <v>9.63212</v>
      </c>
      <c r="G239" s="28"/>
      <c r="H239" s="42"/>
    </row>
    <row r="240" spans="1:8" ht="12.75" customHeight="1">
      <c r="A240" s="26">
        <v>43503</v>
      </c>
      <c r="B240" s="27"/>
      <c r="C240" s="30">
        <f>ROUND(9.56,5)</f>
        <v>9.56</v>
      </c>
      <c r="D240" s="30">
        <f>F240</f>
        <v>9.6993</v>
      </c>
      <c r="E240" s="30">
        <f>F240</f>
        <v>9.6993</v>
      </c>
      <c r="F240" s="30">
        <f>ROUND(9.6993,5)</f>
        <v>9.6993</v>
      </c>
      <c r="G240" s="28"/>
      <c r="H240" s="42"/>
    </row>
    <row r="241" spans="1:8" ht="12.75" customHeight="1">
      <c r="A241" s="26">
        <v>43587</v>
      </c>
      <c r="B241" s="27"/>
      <c r="C241" s="30">
        <f>ROUND(9.56,5)</f>
        <v>9.56</v>
      </c>
      <c r="D241" s="30">
        <f>F241</f>
        <v>9.7525</v>
      </c>
      <c r="E241" s="30">
        <f>F241</f>
        <v>9.7525</v>
      </c>
      <c r="F241" s="30">
        <f>ROUND(9.7525,5)</f>
        <v>9.7525</v>
      </c>
      <c r="G241" s="28"/>
      <c r="H241" s="42"/>
    </row>
    <row r="242" spans="1:8" ht="12.75" customHeight="1">
      <c r="A242" s="26">
        <v>43678</v>
      </c>
      <c r="B242" s="27"/>
      <c r="C242" s="30">
        <f>ROUND(9.56,5)</f>
        <v>9.56</v>
      </c>
      <c r="D242" s="30">
        <f>F242</f>
        <v>9.80652</v>
      </c>
      <c r="E242" s="30">
        <f>F242</f>
        <v>9.80652</v>
      </c>
      <c r="F242" s="30">
        <f>ROUND(9.80652,5)</f>
        <v>9.80652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ROUND(9.6,5)</f>
        <v>9.6</v>
      </c>
      <c r="D244" s="30">
        <f>F244</f>
        <v>9.61238</v>
      </c>
      <c r="E244" s="30">
        <f>F244</f>
        <v>9.61238</v>
      </c>
      <c r="F244" s="30">
        <f>ROUND(9.61238,5)</f>
        <v>9.61238</v>
      </c>
      <c r="G244" s="28"/>
      <c r="H244" s="42"/>
    </row>
    <row r="245" spans="1:8" ht="12.75" customHeight="1">
      <c r="A245" s="26">
        <v>43405</v>
      </c>
      <c r="B245" s="27"/>
      <c r="C245" s="30">
        <f>ROUND(9.6,5)</f>
        <v>9.6</v>
      </c>
      <c r="D245" s="30">
        <f>F245</f>
        <v>9.67327</v>
      </c>
      <c r="E245" s="30">
        <f>F245</f>
        <v>9.67327</v>
      </c>
      <c r="F245" s="30">
        <f>ROUND(9.67327,5)</f>
        <v>9.67327</v>
      </c>
      <c r="G245" s="28"/>
      <c r="H245" s="42"/>
    </row>
    <row r="246" spans="1:8" ht="12.75" customHeight="1">
      <c r="A246" s="26">
        <v>43503</v>
      </c>
      <c r="B246" s="27"/>
      <c r="C246" s="30">
        <f>ROUND(9.6,5)</f>
        <v>9.6</v>
      </c>
      <c r="D246" s="30">
        <f>F246</f>
        <v>9.74154</v>
      </c>
      <c r="E246" s="30">
        <f>F246</f>
        <v>9.74154</v>
      </c>
      <c r="F246" s="30">
        <f>ROUND(9.74154,5)</f>
        <v>9.74154</v>
      </c>
      <c r="G246" s="28"/>
      <c r="H246" s="42"/>
    </row>
    <row r="247" spans="1:8" ht="12.75" customHeight="1">
      <c r="A247" s="26">
        <v>43587</v>
      </c>
      <c r="B247" s="27"/>
      <c r="C247" s="30">
        <f>ROUND(9.6,5)</f>
        <v>9.6</v>
      </c>
      <c r="D247" s="30">
        <f>F247</f>
        <v>9.79562</v>
      </c>
      <c r="E247" s="30">
        <f>F247</f>
        <v>9.79562</v>
      </c>
      <c r="F247" s="30">
        <f>ROUND(9.79562,5)</f>
        <v>9.79562</v>
      </c>
      <c r="G247" s="28"/>
      <c r="H247" s="42"/>
    </row>
    <row r="248" spans="1:8" ht="12.75" customHeight="1">
      <c r="A248" s="26">
        <v>43678</v>
      </c>
      <c r="B248" s="27"/>
      <c r="C248" s="30">
        <f>ROUND(9.6,5)</f>
        <v>9.6</v>
      </c>
      <c r="D248" s="30">
        <f>F248</f>
        <v>9.85066</v>
      </c>
      <c r="E248" s="30">
        <f>F248</f>
        <v>9.85066</v>
      </c>
      <c r="F248" s="30">
        <f>ROUND(9.85066,5)</f>
        <v>9.85066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ROUND(356.81560920053,4)</f>
        <v>356.8156</v>
      </c>
      <c r="D250" s="32">
        <f>F250</f>
        <v>363.0003</v>
      </c>
      <c r="E250" s="32">
        <f>F250</f>
        <v>363.0003</v>
      </c>
      <c r="F250" s="32">
        <f>ROUND(363.0003,4)</f>
        <v>363.0003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341.4625</v>
      </c>
      <c r="E252" s="32">
        <f>F252</f>
        <v>341.4625</v>
      </c>
      <c r="F252" s="32">
        <f>ROUND(341.4625,4)</f>
        <v>341.4625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43297</v>
      </c>
      <c r="B254" s="27"/>
      <c r="C254" s="32">
        <f>ROUND(15.504319,4)</f>
        <v>15.5043</v>
      </c>
      <c r="D254" s="32">
        <f>F254</f>
        <v>15.4638</v>
      </c>
      <c r="E254" s="32">
        <f>F254</f>
        <v>15.4638</v>
      </c>
      <c r="F254" s="32">
        <f>ROUND(15.4638,4)</f>
        <v>15.4638</v>
      </c>
      <c r="G254" s="28"/>
      <c r="H254" s="42"/>
    </row>
    <row r="255" spans="1:8" ht="12.75" customHeight="1">
      <c r="A255" s="26">
        <v>43298</v>
      </c>
      <c r="B255" s="27"/>
      <c r="C255" s="32">
        <f>ROUND(15.504319,4)</f>
        <v>15.5043</v>
      </c>
      <c r="D255" s="32">
        <f>F255</f>
        <v>15.5074</v>
      </c>
      <c r="E255" s="32">
        <f>F255</f>
        <v>15.5074</v>
      </c>
      <c r="F255" s="32">
        <f>ROUND(15.5074,4)</f>
        <v>15.5074</v>
      </c>
      <c r="G255" s="28"/>
      <c r="H255" s="42"/>
    </row>
    <row r="256" spans="1:8" ht="12.75" customHeight="1">
      <c r="A256" s="26">
        <v>43312</v>
      </c>
      <c r="B256" s="27"/>
      <c r="C256" s="32">
        <f>ROUND(15.504319,4)</f>
        <v>15.5043</v>
      </c>
      <c r="D256" s="32">
        <f>F256</f>
        <v>15.5448</v>
      </c>
      <c r="E256" s="32">
        <f>F256</f>
        <v>15.5448</v>
      </c>
      <c r="F256" s="32">
        <f>ROUND(15.5448,4)</f>
        <v>15.5448</v>
      </c>
      <c r="G256" s="28"/>
      <c r="H256" s="42"/>
    </row>
    <row r="257" spans="1:8" ht="12.75" customHeight="1">
      <c r="A257" s="26">
        <v>43350</v>
      </c>
      <c r="B257" s="27"/>
      <c r="C257" s="32">
        <f>ROUND(15.504319,4)</f>
        <v>15.5043</v>
      </c>
      <c r="D257" s="32">
        <f>F257</f>
        <v>15.6639</v>
      </c>
      <c r="E257" s="32">
        <f>F257</f>
        <v>15.6639</v>
      </c>
      <c r="F257" s="32">
        <f>ROUND(15.6639,4)</f>
        <v>15.6639</v>
      </c>
      <c r="G257" s="28"/>
      <c r="H257" s="42"/>
    </row>
    <row r="258" spans="1:8" ht="12.75" customHeight="1">
      <c r="A258" s="26">
        <v>43354</v>
      </c>
      <c r="B258" s="27"/>
      <c r="C258" s="32">
        <f>ROUND(15.504319,4)</f>
        <v>15.5043</v>
      </c>
      <c r="D258" s="32">
        <f>F258</f>
        <v>15.6765</v>
      </c>
      <c r="E258" s="32">
        <f>F258</f>
        <v>15.6765</v>
      </c>
      <c r="F258" s="32">
        <f>ROUND(15.6765,4)</f>
        <v>15.6765</v>
      </c>
      <c r="G258" s="28"/>
      <c r="H258" s="42"/>
    </row>
    <row r="259" spans="1:8" ht="12.75" customHeight="1">
      <c r="A259" s="26">
        <v>43368</v>
      </c>
      <c r="B259" s="27"/>
      <c r="C259" s="32">
        <f>ROUND(15.504319,4)</f>
        <v>15.5043</v>
      </c>
      <c r="D259" s="32">
        <f>F259</f>
        <v>15.7214</v>
      </c>
      <c r="E259" s="32">
        <f>F259</f>
        <v>15.7214</v>
      </c>
      <c r="F259" s="32">
        <f>ROUND(15.7214,4)</f>
        <v>15.7214</v>
      </c>
      <c r="G259" s="28"/>
      <c r="H259" s="42"/>
    </row>
    <row r="260" spans="1:8" ht="12.75" customHeight="1">
      <c r="A260" s="26" t="s">
        <v>64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43297</v>
      </c>
      <c r="B261" s="27"/>
      <c r="C261" s="32">
        <f>ROUND(13.2425,4)</f>
        <v>13.2425</v>
      </c>
      <c r="D261" s="32">
        <f>F261</f>
        <v>13.2015</v>
      </c>
      <c r="E261" s="32">
        <f>F261</f>
        <v>13.2015</v>
      </c>
      <c r="F261" s="32">
        <f>ROUND(13.2015,4)</f>
        <v>13.2015</v>
      </c>
      <c r="G261" s="28"/>
      <c r="H261" s="42"/>
    </row>
    <row r="262" spans="1:8" ht="12.75" customHeight="1">
      <c r="A262" s="26">
        <v>43301</v>
      </c>
      <c r="B262" s="27"/>
      <c r="C262" s="32">
        <f>ROUND(13.2425,4)</f>
        <v>13.2425</v>
      </c>
      <c r="D262" s="32">
        <f>F262</f>
        <v>13.2459</v>
      </c>
      <c r="E262" s="32">
        <f>F262</f>
        <v>13.2459</v>
      </c>
      <c r="F262" s="32">
        <f>ROUND(13.2459,4)</f>
        <v>13.2459</v>
      </c>
      <c r="G262" s="28"/>
      <c r="H262" s="42"/>
    </row>
    <row r="263" spans="1:8" ht="12.75" customHeight="1">
      <c r="A263" s="26">
        <v>43305</v>
      </c>
      <c r="B263" s="27"/>
      <c r="C263" s="32">
        <f>ROUND(13.2425,4)</f>
        <v>13.2425</v>
      </c>
      <c r="D263" s="32">
        <f>F263</f>
        <v>13.2528</v>
      </c>
      <c r="E263" s="32">
        <f>F263</f>
        <v>13.2528</v>
      </c>
      <c r="F263" s="32">
        <f>ROUND(13.2528,4)</f>
        <v>13.2528</v>
      </c>
      <c r="G263" s="28"/>
      <c r="H263" s="42"/>
    </row>
    <row r="264" spans="1:8" ht="12.75" customHeight="1">
      <c r="A264" s="26">
        <v>43306</v>
      </c>
      <c r="B264" s="27"/>
      <c r="C264" s="32">
        <f>ROUND(13.2425,4)</f>
        <v>13.2425</v>
      </c>
      <c r="D264" s="32">
        <f>F264</f>
        <v>13.2545</v>
      </c>
      <c r="E264" s="32">
        <f>F264</f>
        <v>13.2545</v>
      </c>
      <c r="F264" s="32">
        <f>ROUND(13.2545,4)</f>
        <v>13.2545</v>
      </c>
      <c r="G264" s="28"/>
      <c r="H264" s="42"/>
    </row>
    <row r="265" spans="1:8" ht="12.75" customHeight="1">
      <c r="A265" s="26">
        <v>43308</v>
      </c>
      <c r="B265" s="27"/>
      <c r="C265" s="32">
        <f>ROUND(13.2425,4)</f>
        <v>13.2425</v>
      </c>
      <c r="D265" s="32">
        <f>F265</f>
        <v>13.2579</v>
      </c>
      <c r="E265" s="32">
        <f>F265</f>
        <v>13.2579</v>
      </c>
      <c r="F265" s="32">
        <f>ROUND(13.2579,4)</f>
        <v>13.2579</v>
      </c>
      <c r="G265" s="28"/>
      <c r="H265" s="42"/>
    </row>
    <row r="266" spans="1:8" ht="12.75" customHeight="1">
      <c r="A266" s="26">
        <v>43312</v>
      </c>
      <c r="B266" s="27"/>
      <c r="C266" s="32">
        <f>ROUND(13.2425,4)</f>
        <v>13.2425</v>
      </c>
      <c r="D266" s="32">
        <f>F266</f>
        <v>13.2648</v>
      </c>
      <c r="E266" s="32">
        <f>F266</f>
        <v>13.2648</v>
      </c>
      <c r="F266" s="32">
        <f>ROUND(13.2648,4)</f>
        <v>13.2648</v>
      </c>
      <c r="G266" s="28"/>
      <c r="H266" s="42"/>
    </row>
    <row r="267" spans="1:8" ht="12.75" customHeight="1">
      <c r="A267" s="26">
        <v>43314</v>
      </c>
      <c r="B267" s="27"/>
      <c r="C267" s="32">
        <f>ROUND(13.2425,4)</f>
        <v>13.2425</v>
      </c>
      <c r="D267" s="32">
        <f>F267</f>
        <v>13.2682</v>
      </c>
      <c r="E267" s="32">
        <f>F267</f>
        <v>13.2682</v>
      </c>
      <c r="F267" s="32">
        <f>ROUND(13.2682,4)</f>
        <v>13.2682</v>
      </c>
      <c r="G267" s="28"/>
      <c r="H267" s="42"/>
    </row>
    <row r="268" spans="1:8" ht="12.75" customHeight="1">
      <c r="A268" s="26">
        <v>43319</v>
      </c>
      <c r="B268" s="27"/>
      <c r="C268" s="32">
        <f>ROUND(13.2425,4)</f>
        <v>13.2425</v>
      </c>
      <c r="D268" s="32">
        <f>F268</f>
        <v>13.2767</v>
      </c>
      <c r="E268" s="32">
        <f>F268</f>
        <v>13.2767</v>
      </c>
      <c r="F268" s="32">
        <f>ROUND(13.2767,4)</f>
        <v>13.2767</v>
      </c>
      <c r="G268" s="28"/>
      <c r="H268" s="42"/>
    </row>
    <row r="269" spans="1:8" ht="12.75" customHeight="1">
      <c r="A269" s="26">
        <v>43325</v>
      </c>
      <c r="B269" s="27"/>
      <c r="C269" s="32">
        <f>ROUND(13.2425,4)</f>
        <v>13.2425</v>
      </c>
      <c r="D269" s="32">
        <f>F269</f>
        <v>13.2869</v>
      </c>
      <c r="E269" s="32">
        <f>F269</f>
        <v>13.2869</v>
      </c>
      <c r="F269" s="32">
        <f>ROUND(13.2869,4)</f>
        <v>13.2869</v>
      </c>
      <c r="G269" s="28"/>
      <c r="H269" s="42"/>
    </row>
    <row r="270" spans="1:8" ht="12.75" customHeight="1">
      <c r="A270" s="26">
        <v>43327</v>
      </c>
      <c r="B270" s="27"/>
      <c r="C270" s="32">
        <f>ROUND(13.2425,4)</f>
        <v>13.2425</v>
      </c>
      <c r="D270" s="32">
        <f>F270</f>
        <v>13.2903</v>
      </c>
      <c r="E270" s="32">
        <f>F270</f>
        <v>13.2903</v>
      </c>
      <c r="F270" s="32">
        <f>ROUND(13.2903,4)</f>
        <v>13.2903</v>
      </c>
      <c r="G270" s="28"/>
      <c r="H270" s="42"/>
    </row>
    <row r="271" spans="1:8" ht="12.75" customHeight="1">
      <c r="A271" s="26">
        <v>43332</v>
      </c>
      <c r="B271" s="27"/>
      <c r="C271" s="32">
        <f>ROUND(13.2425,4)</f>
        <v>13.2425</v>
      </c>
      <c r="D271" s="32">
        <f>F271</f>
        <v>13.2989</v>
      </c>
      <c r="E271" s="32">
        <f>F271</f>
        <v>13.2989</v>
      </c>
      <c r="F271" s="32">
        <f>ROUND(13.2989,4)</f>
        <v>13.2989</v>
      </c>
      <c r="G271" s="28"/>
      <c r="H271" s="42"/>
    </row>
    <row r="272" spans="1:8" ht="12.75" customHeight="1">
      <c r="A272" s="26">
        <v>43343</v>
      </c>
      <c r="B272" s="27"/>
      <c r="C272" s="32">
        <f>ROUND(13.2425,4)</f>
        <v>13.2425</v>
      </c>
      <c r="D272" s="32">
        <f>F272</f>
        <v>13.3177</v>
      </c>
      <c r="E272" s="32">
        <f>F272</f>
        <v>13.3177</v>
      </c>
      <c r="F272" s="32">
        <f>ROUND(13.3177,4)</f>
        <v>13.3177</v>
      </c>
      <c r="G272" s="28"/>
      <c r="H272" s="42"/>
    </row>
    <row r="273" spans="1:8" ht="12.75" customHeight="1">
      <c r="A273" s="26">
        <v>43346</v>
      </c>
      <c r="B273" s="27"/>
      <c r="C273" s="32">
        <f>ROUND(13.2425,4)</f>
        <v>13.2425</v>
      </c>
      <c r="D273" s="32">
        <f>F273</f>
        <v>13.3228</v>
      </c>
      <c r="E273" s="32">
        <f>F273</f>
        <v>13.3228</v>
      </c>
      <c r="F273" s="32">
        <f>ROUND(13.3228,4)</f>
        <v>13.3228</v>
      </c>
      <c r="G273" s="28"/>
      <c r="H273" s="42"/>
    </row>
    <row r="274" spans="1:8" ht="12.75" customHeight="1">
      <c r="A274" s="26">
        <v>43356</v>
      </c>
      <c r="B274" s="27"/>
      <c r="C274" s="32">
        <f>ROUND(13.2425,4)</f>
        <v>13.2425</v>
      </c>
      <c r="D274" s="32">
        <f>F274</f>
        <v>13.3399</v>
      </c>
      <c r="E274" s="32">
        <f>F274</f>
        <v>13.3399</v>
      </c>
      <c r="F274" s="32">
        <f>ROUND(13.3399,4)</f>
        <v>13.3399</v>
      </c>
      <c r="G274" s="28"/>
      <c r="H274" s="42"/>
    </row>
    <row r="275" spans="1:8" ht="12.75" customHeight="1">
      <c r="A275" s="26">
        <v>43368</v>
      </c>
      <c r="B275" s="27"/>
      <c r="C275" s="32">
        <f>ROUND(13.2425,4)</f>
        <v>13.2425</v>
      </c>
      <c r="D275" s="32">
        <f>F275</f>
        <v>13.3604</v>
      </c>
      <c r="E275" s="32">
        <f>F275</f>
        <v>13.3604</v>
      </c>
      <c r="F275" s="32">
        <f>ROUND(13.3604,4)</f>
        <v>13.3604</v>
      </c>
      <c r="G275" s="28"/>
      <c r="H275" s="42"/>
    </row>
    <row r="276" spans="1:8" ht="12.75" customHeight="1">
      <c r="A276" s="26">
        <v>43371</v>
      </c>
      <c r="B276" s="27"/>
      <c r="C276" s="32">
        <f>ROUND(13.2425,4)</f>
        <v>13.2425</v>
      </c>
      <c r="D276" s="32">
        <f>F276</f>
        <v>13.3655</v>
      </c>
      <c r="E276" s="32">
        <f>F276</f>
        <v>13.3655</v>
      </c>
      <c r="F276" s="32">
        <f>ROUND(13.3655,4)</f>
        <v>13.3655</v>
      </c>
      <c r="G276" s="28"/>
      <c r="H276" s="42"/>
    </row>
    <row r="277" spans="1:8" ht="12.75" customHeight="1">
      <c r="A277" s="26">
        <v>43375</v>
      </c>
      <c r="B277" s="27"/>
      <c r="C277" s="32">
        <f>ROUND(13.2425,4)</f>
        <v>13.2425</v>
      </c>
      <c r="D277" s="32">
        <f>F277</f>
        <v>13.3723</v>
      </c>
      <c r="E277" s="32">
        <f>F277</f>
        <v>13.3723</v>
      </c>
      <c r="F277" s="32">
        <f>ROUND(13.3723,4)</f>
        <v>13.3723</v>
      </c>
      <c r="G277" s="28"/>
      <c r="H277" s="42"/>
    </row>
    <row r="278" spans="1:8" ht="12.75" customHeight="1">
      <c r="A278" s="26">
        <v>43385</v>
      </c>
      <c r="B278" s="27"/>
      <c r="C278" s="32">
        <f>ROUND(13.2425,4)</f>
        <v>13.2425</v>
      </c>
      <c r="D278" s="32">
        <f>F278</f>
        <v>13.3893</v>
      </c>
      <c r="E278" s="32">
        <f>F278</f>
        <v>13.3893</v>
      </c>
      <c r="F278" s="32">
        <f>ROUND(13.3893,4)</f>
        <v>13.3893</v>
      </c>
      <c r="G278" s="28"/>
      <c r="H278" s="42"/>
    </row>
    <row r="279" spans="1:8" ht="12.75" customHeight="1">
      <c r="A279" s="26">
        <v>43398</v>
      </c>
      <c r="B279" s="27"/>
      <c r="C279" s="32">
        <f>ROUND(13.2425,4)</f>
        <v>13.2425</v>
      </c>
      <c r="D279" s="32">
        <f>F279</f>
        <v>13.4114</v>
      </c>
      <c r="E279" s="32">
        <f>F279</f>
        <v>13.4114</v>
      </c>
      <c r="F279" s="32">
        <f>ROUND(13.4114,4)</f>
        <v>13.4114</v>
      </c>
      <c r="G279" s="28"/>
      <c r="H279" s="42"/>
    </row>
    <row r="280" spans="1:8" ht="12.75" customHeight="1">
      <c r="A280" s="26">
        <v>43402</v>
      </c>
      <c r="B280" s="27"/>
      <c r="C280" s="32">
        <f>ROUND(13.2425,4)</f>
        <v>13.2425</v>
      </c>
      <c r="D280" s="32">
        <f>F280</f>
        <v>13.4182</v>
      </c>
      <c r="E280" s="32">
        <f>F280</f>
        <v>13.4182</v>
      </c>
      <c r="F280" s="32">
        <f>ROUND(13.4182,4)</f>
        <v>13.4182</v>
      </c>
      <c r="G280" s="28"/>
      <c r="H280" s="42"/>
    </row>
    <row r="281" spans="1:8" ht="12.75" customHeight="1">
      <c r="A281" s="26">
        <v>43404</v>
      </c>
      <c r="B281" s="27"/>
      <c r="C281" s="32">
        <f>ROUND(13.2425,4)</f>
        <v>13.2425</v>
      </c>
      <c r="D281" s="32">
        <f>F281</f>
        <v>13.4216</v>
      </c>
      <c r="E281" s="32">
        <f>F281</f>
        <v>13.4216</v>
      </c>
      <c r="F281" s="32">
        <f>ROUND(13.4216,4)</f>
        <v>13.4216</v>
      </c>
      <c r="G281" s="28"/>
      <c r="H281" s="42"/>
    </row>
    <row r="282" spans="1:8" ht="12.75" customHeight="1">
      <c r="A282" s="26">
        <v>43405</v>
      </c>
      <c r="B282" s="27"/>
      <c r="C282" s="32">
        <f>ROUND(13.2425,4)</f>
        <v>13.2425</v>
      </c>
      <c r="D282" s="32">
        <f>F282</f>
        <v>13.4233</v>
      </c>
      <c r="E282" s="32">
        <f>F282</f>
        <v>13.4233</v>
      </c>
      <c r="F282" s="32">
        <f>ROUND(13.4233,4)</f>
        <v>13.4233</v>
      </c>
      <c r="G282" s="28"/>
      <c r="H282" s="42"/>
    </row>
    <row r="283" spans="1:8" ht="12.75" customHeight="1">
      <c r="A283" s="26">
        <v>43409</v>
      </c>
      <c r="B283" s="27"/>
      <c r="C283" s="32">
        <f>ROUND(13.2425,4)</f>
        <v>13.2425</v>
      </c>
      <c r="D283" s="32">
        <f>F283</f>
        <v>13.4301</v>
      </c>
      <c r="E283" s="32">
        <f>F283</f>
        <v>13.4301</v>
      </c>
      <c r="F283" s="32">
        <f>ROUND(13.4301,4)</f>
        <v>13.4301</v>
      </c>
      <c r="G283" s="28"/>
      <c r="H283" s="42"/>
    </row>
    <row r="284" spans="1:8" ht="12.75" customHeight="1">
      <c r="A284" s="26">
        <v>43417</v>
      </c>
      <c r="B284" s="27"/>
      <c r="C284" s="32">
        <f>ROUND(13.2425,4)</f>
        <v>13.2425</v>
      </c>
      <c r="D284" s="32">
        <f>F284</f>
        <v>13.4438</v>
      </c>
      <c r="E284" s="32">
        <f>F284</f>
        <v>13.4438</v>
      </c>
      <c r="F284" s="32">
        <f>ROUND(13.4438,4)</f>
        <v>13.4438</v>
      </c>
      <c r="G284" s="28"/>
      <c r="H284" s="42"/>
    </row>
    <row r="285" spans="1:8" ht="12.75" customHeight="1">
      <c r="A285" s="26">
        <v>43420</v>
      </c>
      <c r="B285" s="27"/>
      <c r="C285" s="32">
        <f>ROUND(13.2425,4)</f>
        <v>13.2425</v>
      </c>
      <c r="D285" s="32">
        <f>F285</f>
        <v>13.4489</v>
      </c>
      <c r="E285" s="32">
        <f>F285</f>
        <v>13.4489</v>
      </c>
      <c r="F285" s="32">
        <f>ROUND(13.4489,4)</f>
        <v>13.4489</v>
      </c>
      <c r="G285" s="28"/>
      <c r="H285" s="42"/>
    </row>
    <row r="286" spans="1:8" ht="12.75" customHeight="1">
      <c r="A286" s="26">
        <v>43434</v>
      </c>
      <c r="B286" s="27"/>
      <c r="C286" s="32">
        <f>ROUND(13.2425,4)</f>
        <v>13.2425</v>
      </c>
      <c r="D286" s="32">
        <f>F286</f>
        <v>13.4727</v>
      </c>
      <c r="E286" s="32">
        <f>F286</f>
        <v>13.4727</v>
      </c>
      <c r="F286" s="32">
        <f>ROUND(13.4727,4)</f>
        <v>13.4727</v>
      </c>
      <c r="G286" s="28"/>
      <c r="H286" s="42"/>
    </row>
    <row r="287" spans="1:8" ht="12.75" customHeight="1">
      <c r="A287" s="26">
        <v>43445</v>
      </c>
      <c r="B287" s="27"/>
      <c r="C287" s="32">
        <f>ROUND(13.2425,4)</f>
        <v>13.2425</v>
      </c>
      <c r="D287" s="32">
        <f>F287</f>
        <v>13.4915</v>
      </c>
      <c r="E287" s="32">
        <f>F287</f>
        <v>13.4915</v>
      </c>
      <c r="F287" s="32">
        <f>ROUND(13.4915,4)</f>
        <v>13.4915</v>
      </c>
      <c r="G287" s="28"/>
      <c r="H287" s="42"/>
    </row>
    <row r="288" spans="1:8" ht="12.75" customHeight="1">
      <c r="A288" s="26">
        <v>43455</v>
      </c>
      <c r="B288" s="27"/>
      <c r="C288" s="32">
        <f>ROUND(13.2425,4)</f>
        <v>13.2425</v>
      </c>
      <c r="D288" s="32">
        <f>F288</f>
        <v>13.5085</v>
      </c>
      <c r="E288" s="32">
        <f>F288</f>
        <v>13.5085</v>
      </c>
      <c r="F288" s="32">
        <f>ROUND(13.5085,4)</f>
        <v>13.5085</v>
      </c>
      <c r="G288" s="28"/>
      <c r="H288" s="42"/>
    </row>
    <row r="289" spans="1:8" ht="12.75" customHeight="1">
      <c r="A289" s="26">
        <v>43465</v>
      </c>
      <c r="B289" s="27"/>
      <c r="C289" s="32">
        <f>ROUND(13.2425,4)</f>
        <v>13.2425</v>
      </c>
      <c r="D289" s="32">
        <f>F289</f>
        <v>13.5255</v>
      </c>
      <c r="E289" s="32">
        <f>F289</f>
        <v>13.5255</v>
      </c>
      <c r="F289" s="32">
        <f>ROUND(13.5255,4)</f>
        <v>13.5255</v>
      </c>
      <c r="G289" s="28"/>
      <c r="H289" s="42"/>
    </row>
    <row r="290" spans="1:8" ht="12.75" customHeight="1">
      <c r="A290" s="26">
        <v>43467</v>
      </c>
      <c r="B290" s="27"/>
      <c r="C290" s="32">
        <f>ROUND(13.2425,4)</f>
        <v>13.2425</v>
      </c>
      <c r="D290" s="32">
        <f>F290</f>
        <v>13.5289</v>
      </c>
      <c r="E290" s="32">
        <f>F290</f>
        <v>13.5289</v>
      </c>
      <c r="F290" s="32">
        <f>ROUND(13.5289,4)</f>
        <v>13.5289</v>
      </c>
      <c r="G290" s="28"/>
      <c r="H290" s="42"/>
    </row>
    <row r="291" spans="1:8" ht="12.75" customHeight="1">
      <c r="A291" s="26">
        <v>43495</v>
      </c>
      <c r="B291" s="27"/>
      <c r="C291" s="32">
        <f>ROUND(13.2425,4)</f>
        <v>13.2425</v>
      </c>
      <c r="D291" s="32">
        <f>F291</f>
        <v>13.5767</v>
      </c>
      <c r="E291" s="32">
        <f>F291</f>
        <v>13.5767</v>
      </c>
      <c r="F291" s="32">
        <f>ROUND(13.5767,4)</f>
        <v>13.5767</v>
      </c>
      <c r="G291" s="28"/>
      <c r="H291" s="42"/>
    </row>
    <row r="292" spans="1:8" ht="12.75" customHeight="1">
      <c r="A292" s="26">
        <v>43496</v>
      </c>
      <c r="B292" s="27"/>
      <c r="C292" s="32">
        <f>ROUND(13.2425,4)</f>
        <v>13.2425</v>
      </c>
      <c r="D292" s="32">
        <f>F292</f>
        <v>13.5784</v>
      </c>
      <c r="E292" s="32">
        <f>F292</f>
        <v>13.5784</v>
      </c>
      <c r="F292" s="32">
        <f>ROUND(13.5784,4)</f>
        <v>13.5784</v>
      </c>
      <c r="G292" s="28"/>
      <c r="H292" s="42"/>
    </row>
    <row r="293" spans="1:8" ht="12.75" customHeight="1">
      <c r="A293" s="26">
        <v>43509</v>
      </c>
      <c r="B293" s="27"/>
      <c r="C293" s="32">
        <f>ROUND(13.2425,4)</f>
        <v>13.2425</v>
      </c>
      <c r="D293" s="32">
        <f>F293</f>
        <v>13.6006</v>
      </c>
      <c r="E293" s="32">
        <f>F293</f>
        <v>13.6006</v>
      </c>
      <c r="F293" s="32">
        <f>ROUND(13.6006,4)</f>
        <v>13.6006</v>
      </c>
      <c r="G293" s="28"/>
      <c r="H293" s="42"/>
    </row>
    <row r="294" spans="1:8" ht="12.75" customHeight="1">
      <c r="A294" s="26">
        <v>43524</v>
      </c>
      <c r="B294" s="27"/>
      <c r="C294" s="32">
        <f>ROUND(13.2425,4)</f>
        <v>13.2425</v>
      </c>
      <c r="D294" s="32">
        <f>F294</f>
        <v>13.6262</v>
      </c>
      <c r="E294" s="32">
        <f>F294</f>
        <v>13.6262</v>
      </c>
      <c r="F294" s="32">
        <f>ROUND(13.6262,4)</f>
        <v>13.6262</v>
      </c>
      <c r="G294" s="28"/>
      <c r="H294" s="42"/>
    </row>
    <row r="295" spans="1:8" ht="12.75" customHeight="1">
      <c r="A295" s="26">
        <v>43551</v>
      </c>
      <c r="B295" s="27"/>
      <c r="C295" s="32">
        <f>ROUND(13.2425,4)</f>
        <v>13.2425</v>
      </c>
      <c r="D295" s="32">
        <f>F295</f>
        <v>13.6723</v>
      </c>
      <c r="E295" s="32">
        <f>F295</f>
        <v>13.6723</v>
      </c>
      <c r="F295" s="32">
        <f>ROUND(13.6723,4)</f>
        <v>13.6723</v>
      </c>
      <c r="G295" s="28"/>
      <c r="H295" s="42"/>
    </row>
    <row r="296" spans="1:8" ht="12.75" customHeight="1">
      <c r="A296" s="26">
        <v>43553</v>
      </c>
      <c r="B296" s="27"/>
      <c r="C296" s="32">
        <f>ROUND(13.2425,4)</f>
        <v>13.2425</v>
      </c>
      <c r="D296" s="32">
        <f>F296</f>
        <v>13.6757</v>
      </c>
      <c r="E296" s="32">
        <f>F296</f>
        <v>13.6757</v>
      </c>
      <c r="F296" s="32">
        <f>ROUND(13.6757,4)</f>
        <v>13.6757</v>
      </c>
      <c r="G296" s="28"/>
      <c r="H296" s="42"/>
    </row>
    <row r="297" spans="1:8" ht="12.75" customHeight="1">
      <c r="A297" s="26">
        <v>43557</v>
      </c>
      <c r="B297" s="27"/>
      <c r="C297" s="32">
        <f>ROUND(13.2425,4)</f>
        <v>13.2425</v>
      </c>
      <c r="D297" s="32">
        <f>F297</f>
        <v>13.6825</v>
      </c>
      <c r="E297" s="32">
        <f>F297</f>
        <v>13.6825</v>
      </c>
      <c r="F297" s="32">
        <f>ROUND(13.6825,4)</f>
        <v>13.6825</v>
      </c>
      <c r="G297" s="28"/>
      <c r="H297" s="42"/>
    </row>
    <row r="298" spans="1:8" ht="12.75" customHeight="1">
      <c r="A298" s="26">
        <v>43585</v>
      </c>
      <c r="B298" s="27"/>
      <c r="C298" s="32">
        <f>ROUND(13.2425,4)</f>
        <v>13.2425</v>
      </c>
      <c r="D298" s="32">
        <f>F298</f>
        <v>13.7304</v>
      </c>
      <c r="E298" s="32">
        <f>F298</f>
        <v>13.7304</v>
      </c>
      <c r="F298" s="32">
        <f>ROUND(13.7304,4)</f>
        <v>13.7304</v>
      </c>
      <c r="G298" s="28"/>
      <c r="H298" s="42"/>
    </row>
    <row r="299" spans="1:8" ht="12.75" customHeight="1">
      <c r="A299" s="26">
        <v>43616</v>
      </c>
      <c r="B299" s="27"/>
      <c r="C299" s="32">
        <f>ROUND(13.2425,4)</f>
        <v>13.2425</v>
      </c>
      <c r="D299" s="32">
        <f>F299</f>
        <v>13.7837</v>
      </c>
      <c r="E299" s="32">
        <f>F299</f>
        <v>13.7837</v>
      </c>
      <c r="F299" s="32">
        <f>ROUND(13.7837,4)</f>
        <v>13.7837</v>
      </c>
      <c r="G299" s="28"/>
      <c r="H299" s="42"/>
    </row>
    <row r="300" spans="1:8" ht="12.75" customHeight="1">
      <c r="A300" s="26">
        <v>43619</v>
      </c>
      <c r="B300" s="27"/>
      <c r="C300" s="32">
        <f>ROUND(13.2425,4)</f>
        <v>13.2425</v>
      </c>
      <c r="D300" s="32">
        <f>F300</f>
        <v>13.7888</v>
      </c>
      <c r="E300" s="32">
        <f>F300</f>
        <v>13.7888</v>
      </c>
      <c r="F300" s="32">
        <f>ROUND(13.7888,4)</f>
        <v>13.7888</v>
      </c>
      <c r="G300" s="28"/>
      <c r="H300" s="42"/>
    </row>
    <row r="301" spans="1:8" ht="12.75" customHeight="1">
      <c r="A301" s="26">
        <v>43644</v>
      </c>
      <c r="B301" s="27"/>
      <c r="C301" s="32">
        <f>ROUND(13.2425,4)</f>
        <v>13.2425</v>
      </c>
      <c r="D301" s="32">
        <f>F301</f>
        <v>13.8318</v>
      </c>
      <c r="E301" s="32">
        <f>F301</f>
        <v>13.8318</v>
      </c>
      <c r="F301" s="32">
        <f>ROUND(13.8318,4)</f>
        <v>13.8318</v>
      </c>
      <c r="G301" s="28"/>
      <c r="H301" s="42"/>
    </row>
    <row r="302" spans="1:8" ht="12.75" customHeight="1">
      <c r="A302" s="26">
        <v>43647</v>
      </c>
      <c r="B302" s="27"/>
      <c r="C302" s="32">
        <f>ROUND(13.2425,4)</f>
        <v>13.2425</v>
      </c>
      <c r="D302" s="32">
        <f>F302</f>
        <v>13.8369</v>
      </c>
      <c r="E302" s="32">
        <f>F302</f>
        <v>13.8369</v>
      </c>
      <c r="F302" s="32">
        <f>ROUND(13.8369,4)</f>
        <v>13.8369</v>
      </c>
      <c r="G302" s="28"/>
      <c r="H302" s="42"/>
    </row>
    <row r="303" spans="1:8" ht="12.75" customHeight="1">
      <c r="A303" s="26">
        <v>43649</v>
      </c>
      <c r="B303" s="27"/>
      <c r="C303" s="32">
        <f>ROUND(13.2425,4)</f>
        <v>13.2425</v>
      </c>
      <c r="D303" s="32">
        <f>F303</f>
        <v>13.8404</v>
      </c>
      <c r="E303" s="32">
        <f>F303</f>
        <v>13.8404</v>
      </c>
      <c r="F303" s="32">
        <f>ROUND(13.8404,4)</f>
        <v>13.8404</v>
      </c>
      <c r="G303" s="28"/>
      <c r="H303" s="42"/>
    </row>
    <row r="304" spans="1:8" ht="12.75" customHeight="1">
      <c r="A304" s="26">
        <v>43677</v>
      </c>
      <c r="B304" s="27"/>
      <c r="C304" s="32">
        <f>ROUND(13.2425,4)</f>
        <v>13.2425</v>
      </c>
      <c r="D304" s="32">
        <f>F304</f>
        <v>13.8902</v>
      </c>
      <c r="E304" s="32">
        <f>F304</f>
        <v>13.8902</v>
      </c>
      <c r="F304" s="32">
        <f>ROUND(13.8902,4)</f>
        <v>13.8902</v>
      </c>
      <c r="G304" s="28"/>
      <c r="H304" s="42"/>
    </row>
    <row r="305" spans="1:8" ht="12.75" customHeight="1">
      <c r="A305" s="26">
        <v>43678</v>
      </c>
      <c r="B305" s="27"/>
      <c r="C305" s="32">
        <f>ROUND(13.2425,4)</f>
        <v>13.2425</v>
      </c>
      <c r="D305" s="32">
        <f>F305</f>
        <v>13.8921</v>
      </c>
      <c r="E305" s="32">
        <f>F305</f>
        <v>13.8921</v>
      </c>
      <c r="F305" s="32">
        <f>ROUND(13.8921,4)</f>
        <v>13.8921</v>
      </c>
      <c r="G305" s="28"/>
      <c r="H305" s="42"/>
    </row>
    <row r="306" spans="1:8" ht="12.75" customHeight="1">
      <c r="A306" s="26">
        <v>43707</v>
      </c>
      <c r="B306" s="27"/>
      <c r="C306" s="32">
        <f>ROUND(13.2425,4)</f>
        <v>13.2425</v>
      </c>
      <c r="D306" s="32">
        <f>F306</f>
        <v>13.9458</v>
      </c>
      <c r="E306" s="32">
        <f>F306</f>
        <v>13.9458</v>
      </c>
      <c r="F306" s="32">
        <f>ROUND(13.9458,4)</f>
        <v>13.9458</v>
      </c>
      <c r="G306" s="28"/>
      <c r="H306" s="42"/>
    </row>
    <row r="307" spans="1:8" ht="12.75" customHeight="1">
      <c r="A307" s="26">
        <v>43710</v>
      </c>
      <c r="B307" s="27"/>
      <c r="C307" s="32">
        <f>ROUND(13.2425,4)</f>
        <v>13.2425</v>
      </c>
      <c r="D307" s="32">
        <f>F307</f>
        <v>13.9513</v>
      </c>
      <c r="E307" s="32">
        <f>F307</f>
        <v>13.9513</v>
      </c>
      <c r="F307" s="32">
        <f>ROUND(13.9513,4)</f>
        <v>13.9513</v>
      </c>
      <c r="G307" s="28"/>
      <c r="H307" s="42"/>
    </row>
    <row r="308" spans="1:8" ht="12.75" customHeight="1">
      <c r="A308" s="26">
        <v>43738</v>
      </c>
      <c r="B308" s="27"/>
      <c r="C308" s="32">
        <f>ROUND(13.2425,4)</f>
        <v>13.2425</v>
      </c>
      <c r="D308" s="32">
        <f>F308</f>
        <v>14.0032</v>
      </c>
      <c r="E308" s="32">
        <f>F308</f>
        <v>14.0032</v>
      </c>
      <c r="F308" s="32">
        <f>ROUND(14.0032,4)</f>
        <v>14.0032</v>
      </c>
      <c r="G308" s="28"/>
      <c r="H308" s="42"/>
    </row>
    <row r="309" spans="1:8" ht="12.75" customHeight="1">
      <c r="A309" s="26">
        <v>43740</v>
      </c>
      <c r="B309" s="27"/>
      <c r="C309" s="32">
        <f>ROUND(13.2425,4)</f>
        <v>13.2425</v>
      </c>
      <c r="D309" s="32">
        <f>F309</f>
        <v>14.0069</v>
      </c>
      <c r="E309" s="32">
        <f>F309</f>
        <v>14.0069</v>
      </c>
      <c r="F309" s="32">
        <f>ROUND(14.0069,4)</f>
        <v>14.0069</v>
      </c>
      <c r="G309" s="28"/>
      <c r="H309" s="42"/>
    </row>
    <row r="310" spans="1:8" ht="12.75" customHeight="1">
      <c r="A310" s="26">
        <v>43769</v>
      </c>
      <c r="B310" s="27"/>
      <c r="C310" s="32">
        <f>ROUND(13.2425,4)</f>
        <v>13.2425</v>
      </c>
      <c r="D310" s="32">
        <f>F310</f>
        <v>14.0606</v>
      </c>
      <c r="E310" s="32">
        <f>F310</f>
        <v>14.0606</v>
      </c>
      <c r="F310" s="32">
        <f>ROUND(14.0606,4)</f>
        <v>14.0606</v>
      </c>
      <c r="G310" s="28"/>
      <c r="H310" s="42"/>
    </row>
    <row r="311" spans="1:8" ht="12.75" customHeight="1">
      <c r="A311" s="26">
        <v>43798</v>
      </c>
      <c r="B311" s="27"/>
      <c r="C311" s="32">
        <f>ROUND(13.2425,4)</f>
        <v>13.2425</v>
      </c>
      <c r="D311" s="32">
        <f>F311</f>
        <v>14.1143</v>
      </c>
      <c r="E311" s="32">
        <f>F311</f>
        <v>14.1143</v>
      </c>
      <c r="F311" s="32">
        <f>ROUND(14.1143,4)</f>
        <v>14.1143</v>
      </c>
      <c r="G311" s="28"/>
      <c r="H311" s="42"/>
    </row>
    <row r="312" spans="1:8" ht="12.75" customHeight="1">
      <c r="A312" s="26">
        <v>43801</v>
      </c>
      <c r="B312" s="27"/>
      <c r="C312" s="32">
        <f>ROUND(13.2425,4)</f>
        <v>13.2425</v>
      </c>
      <c r="D312" s="32">
        <f>F312</f>
        <v>14.1198</v>
      </c>
      <c r="E312" s="32">
        <f>F312</f>
        <v>14.1198</v>
      </c>
      <c r="F312" s="32">
        <f>ROUND(14.1198,4)</f>
        <v>14.1198</v>
      </c>
      <c r="G312" s="28"/>
      <c r="H312" s="42"/>
    </row>
    <row r="313" spans="1:8" ht="12.75" customHeight="1">
      <c r="A313" s="26">
        <v>43830</v>
      </c>
      <c r="B313" s="27"/>
      <c r="C313" s="32">
        <f>ROUND(13.2425,4)</f>
        <v>13.2425</v>
      </c>
      <c r="D313" s="32">
        <f>F313</f>
        <v>14.1735</v>
      </c>
      <c r="E313" s="32">
        <f>F313</f>
        <v>14.1735</v>
      </c>
      <c r="F313" s="32">
        <f>ROUND(14.1735,4)</f>
        <v>14.1735</v>
      </c>
      <c r="G313" s="28"/>
      <c r="H313" s="42"/>
    </row>
    <row r="314" spans="1:8" ht="12.75" customHeight="1">
      <c r="A314" s="26">
        <v>43832</v>
      </c>
      <c r="B314" s="27"/>
      <c r="C314" s="32">
        <f>ROUND(13.2425,4)</f>
        <v>13.2425</v>
      </c>
      <c r="D314" s="32">
        <f>F314</f>
        <v>14.1772</v>
      </c>
      <c r="E314" s="32">
        <f>F314</f>
        <v>14.1772</v>
      </c>
      <c r="F314" s="32">
        <f>ROUND(14.1772,4)</f>
        <v>14.1772</v>
      </c>
      <c r="G314" s="28"/>
      <c r="H314" s="42"/>
    </row>
    <row r="315" spans="1:8" ht="12.75" customHeight="1">
      <c r="A315" s="26">
        <v>43861</v>
      </c>
      <c r="B315" s="27"/>
      <c r="C315" s="32">
        <f>ROUND(13.2425,4)</f>
        <v>13.2425</v>
      </c>
      <c r="D315" s="32">
        <f>F315</f>
        <v>14.2309</v>
      </c>
      <c r="E315" s="32">
        <f>F315</f>
        <v>14.2309</v>
      </c>
      <c r="F315" s="32">
        <f>ROUND(14.2309,4)</f>
        <v>14.2309</v>
      </c>
      <c r="G315" s="28"/>
      <c r="H315" s="42"/>
    </row>
    <row r="316" spans="1:8" ht="12.75" customHeight="1">
      <c r="A316" s="26">
        <v>43892</v>
      </c>
      <c r="B316" s="27"/>
      <c r="C316" s="32">
        <f>ROUND(13.2425,4)</f>
        <v>13.2425</v>
      </c>
      <c r="D316" s="32">
        <f>F316</f>
        <v>14.2883</v>
      </c>
      <c r="E316" s="32">
        <f>F316</f>
        <v>14.2883</v>
      </c>
      <c r="F316" s="32">
        <f>ROUND(14.2883,4)</f>
        <v>14.2883</v>
      </c>
      <c r="G316" s="28"/>
      <c r="H316" s="42"/>
    </row>
    <row r="317" spans="1:8" ht="12.75" customHeight="1">
      <c r="A317" s="26">
        <v>43923</v>
      </c>
      <c r="B317" s="27"/>
      <c r="C317" s="32">
        <f>ROUND(13.2425,4)</f>
        <v>13.2425</v>
      </c>
      <c r="D317" s="32">
        <f>F317</f>
        <v>14.3457</v>
      </c>
      <c r="E317" s="32">
        <f>F317</f>
        <v>14.3457</v>
      </c>
      <c r="F317" s="32">
        <f>ROUND(14.3457,4)</f>
        <v>14.3457</v>
      </c>
      <c r="G317" s="28"/>
      <c r="H317" s="42"/>
    </row>
    <row r="318" spans="1:8" ht="12.75" customHeight="1">
      <c r="A318" s="26">
        <v>43950</v>
      </c>
      <c r="B318" s="27"/>
      <c r="C318" s="32">
        <f>ROUND(13.2425,4)</f>
        <v>13.2425</v>
      </c>
      <c r="D318" s="32">
        <f>F318</f>
        <v>14.3957</v>
      </c>
      <c r="E318" s="32">
        <f>F318</f>
        <v>14.3957</v>
      </c>
      <c r="F318" s="32">
        <f>ROUND(14.3957,4)</f>
        <v>14.3957</v>
      </c>
      <c r="G318" s="28"/>
      <c r="H318" s="42"/>
    </row>
    <row r="319" spans="1:8" ht="12.75" customHeight="1">
      <c r="A319" s="26">
        <v>43984</v>
      </c>
      <c r="B319" s="27"/>
      <c r="C319" s="32">
        <f>ROUND(13.2425,4)</f>
        <v>13.2425</v>
      </c>
      <c r="D319" s="32">
        <f>F319</f>
        <v>14.4586</v>
      </c>
      <c r="E319" s="32">
        <f>F319</f>
        <v>14.4586</v>
      </c>
      <c r="F319" s="32">
        <f>ROUND(14.4586,4)</f>
        <v>14.4586</v>
      </c>
      <c r="G319" s="28"/>
      <c r="H319" s="42"/>
    </row>
    <row r="320" spans="1:8" ht="12.75" customHeight="1">
      <c r="A320" s="26">
        <v>44040</v>
      </c>
      <c r="B320" s="27"/>
      <c r="C320" s="32">
        <f>ROUND(13.2425,4)</f>
        <v>13.2425</v>
      </c>
      <c r="D320" s="32">
        <f>F320</f>
        <v>14.5655</v>
      </c>
      <c r="E320" s="32">
        <f>F320</f>
        <v>14.5655</v>
      </c>
      <c r="F320" s="32">
        <f>ROUND(14.5655,4)</f>
        <v>14.5655</v>
      </c>
      <c r="G320" s="28"/>
      <c r="H320" s="42"/>
    </row>
    <row r="321" spans="1:8" ht="12.75" customHeight="1">
      <c r="A321" s="26" t="s">
        <v>65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43360</v>
      </c>
      <c r="B322" s="27"/>
      <c r="C322" s="32">
        <f>ROUND(1.1708,4)</f>
        <v>1.1708</v>
      </c>
      <c r="D322" s="32">
        <f>F322</f>
        <v>1.176</v>
      </c>
      <c r="E322" s="32">
        <f>F322</f>
        <v>1.176</v>
      </c>
      <c r="F322" s="32">
        <f>ROUND(1.176,4)</f>
        <v>1.176</v>
      </c>
      <c r="G322" s="28"/>
      <c r="H322" s="42"/>
    </row>
    <row r="323" spans="1:8" ht="12.75" customHeight="1">
      <c r="A323" s="26">
        <v>43448</v>
      </c>
      <c r="B323" s="27"/>
      <c r="C323" s="32">
        <f>ROUND(1.1708,4)</f>
        <v>1.1708</v>
      </c>
      <c r="D323" s="32">
        <f>F323</f>
        <v>1.1841</v>
      </c>
      <c r="E323" s="32">
        <f>F323</f>
        <v>1.1841</v>
      </c>
      <c r="F323" s="32">
        <f>ROUND(1.1841,4)</f>
        <v>1.1841</v>
      </c>
      <c r="G323" s="28"/>
      <c r="H323" s="42"/>
    </row>
    <row r="324" spans="1:8" ht="12.75" customHeight="1">
      <c r="A324" s="26">
        <v>43542</v>
      </c>
      <c r="B324" s="27"/>
      <c r="C324" s="32">
        <f>ROUND(1.1708,4)</f>
        <v>1.1708</v>
      </c>
      <c r="D324" s="32">
        <f>F324</f>
        <v>1.1939</v>
      </c>
      <c r="E324" s="32">
        <f>F324</f>
        <v>1.1939</v>
      </c>
      <c r="F324" s="32">
        <f>ROUND(1.1939,4)</f>
        <v>1.1939</v>
      </c>
      <c r="G324" s="28"/>
      <c r="H324" s="42"/>
    </row>
    <row r="325" spans="1:8" ht="12.75" customHeight="1">
      <c r="A325" s="26">
        <v>43630</v>
      </c>
      <c r="B325" s="27"/>
      <c r="C325" s="32">
        <f>ROUND(1.1708,4)</f>
        <v>1.1708</v>
      </c>
      <c r="D325" s="32">
        <f>F325</f>
        <v>1.2032</v>
      </c>
      <c r="E325" s="32">
        <f>F325</f>
        <v>1.2032</v>
      </c>
      <c r="F325" s="32">
        <f>ROUND(1.2032,4)</f>
        <v>1.2032</v>
      </c>
      <c r="G325" s="28"/>
      <c r="H325" s="42"/>
    </row>
    <row r="326" spans="1:8" ht="12.75" customHeight="1">
      <c r="A326" s="26" t="s">
        <v>66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43360</v>
      </c>
      <c r="B327" s="27"/>
      <c r="C327" s="32">
        <f>ROUND(1.3233625,4)</f>
        <v>1.3234</v>
      </c>
      <c r="D327" s="32">
        <f>F327</f>
        <v>1.3267</v>
      </c>
      <c r="E327" s="32">
        <f>F327</f>
        <v>1.3267</v>
      </c>
      <c r="F327" s="32">
        <f>ROUND(1.3267,4)</f>
        <v>1.3267</v>
      </c>
      <c r="G327" s="28"/>
      <c r="H327" s="42"/>
    </row>
    <row r="328" spans="1:8" ht="12.75" customHeight="1">
      <c r="A328" s="26">
        <v>43448</v>
      </c>
      <c r="B328" s="27"/>
      <c r="C328" s="32">
        <f>ROUND(1.3233625,4)</f>
        <v>1.3234</v>
      </c>
      <c r="D328" s="32">
        <f>F328</f>
        <v>1.3319</v>
      </c>
      <c r="E328" s="32">
        <f>F328</f>
        <v>1.3319</v>
      </c>
      <c r="F328" s="32">
        <f>ROUND(1.3319,4)</f>
        <v>1.3319</v>
      </c>
      <c r="G328" s="28"/>
      <c r="H328" s="42"/>
    </row>
    <row r="329" spans="1:8" ht="12.75" customHeight="1">
      <c r="A329" s="26">
        <v>43542</v>
      </c>
      <c r="B329" s="27"/>
      <c r="C329" s="32">
        <f>ROUND(1.3233625,4)</f>
        <v>1.3234</v>
      </c>
      <c r="D329" s="32">
        <f>F329</f>
        <v>1.3382</v>
      </c>
      <c r="E329" s="32">
        <f>F329</f>
        <v>1.3382</v>
      </c>
      <c r="F329" s="32">
        <f>ROUND(1.3382,4)</f>
        <v>1.3382</v>
      </c>
      <c r="G329" s="28"/>
      <c r="H329" s="42"/>
    </row>
    <row r="330" spans="1:8" ht="12.75" customHeight="1">
      <c r="A330" s="26">
        <v>43630</v>
      </c>
      <c r="B330" s="27"/>
      <c r="C330" s="32">
        <f>ROUND(1.3233625,4)</f>
        <v>1.3234</v>
      </c>
      <c r="D330" s="32">
        <f>F330</f>
        <v>1.3439</v>
      </c>
      <c r="E330" s="32">
        <f>F330</f>
        <v>1.3439</v>
      </c>
      <c r="F330" s="32">
        <f>ROUND(1.3439,4)</f>
        <v>1.3439</v>
      </c>
      <c r="G330" s="28"/>
      <c r="H330" s="42"/>
    </row>
    <row r="331" spans="1:8" ht="12.75" customHeight="1">
      <c r="A331" s="26" t="s">
        <v>67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43360</v>
      </c>
      <c r="B332" s="27"/>
      <c r="C332" s="32">
        <f>ROUND(9.82637641666667,4)</f>
        <v>9.8264</v>
      </c>
      <c r="D332" s="32">
        <f>F332</f>
        <v>9.9011</v>
      </c>
      <c r="E332" s="32">
        <f>F332</f>
        <v>9.9011</v>
      </c>
      <c r="F332" s="32">
        <f>ROUND(9.9011,4)</f>
        <v>9.9011</v>
      </c>
      <c r="G332" s="28"/>
      <c r="H332" s="42"/>
    </row>
    <row r="333" spans="1:8" ht="12.75" customHeight="1">
      <c r="A333" s="26">
        <v>43448</v>
      </c>
      <c r="B333" s="27"/>
      <c r="C333" s="32">
        <f>ROUND(9.82637641666667,4)</f>
        <v>9.8264</v>
      </c>
      <c r="D333" s="32">
        <f>F333</f>
        <v>10.0136</v>
      </c>
      <c r="E333" s="32">
        <f>F333</f>
        <v>10.0136</v>
      </c>
      <c r="F333" s="32">
        <f>ROUND(10.0136,4)</f>
        <v>10.0136</v>
      </c>
      <c r="G333" s="28"/>
      <c r="H333" s="42"/>
    </row>
    <row r="334" spans="1:8" ht="12.75" customHeight="1">
      <c r="A334" s="26">
        <v>43542</v>
      </c>
      <c r="B334" s="27"/>
      <c r="C334" s="32">
        <f>ROUND(9.82637641666667,4)</f>
        <v>9.8264</v>
      </c>
      <c r="D334" s="32">
        <f>F334</f>
        <v>10.1383</v>
      </c>
      <c r="E334" s="32">
        <f>F334</f>
        <v>10.1383</v>
      </c>
      <c r="F334" s="32">
        <f>ROUND(10.1383,4)</f>
        <v>10.1383</v>
      </c>
      <c r="G334" s="28"/>
      <c r="H334" s="42"/>
    </row>
    <row r="335" spans="1:8" ht="12.75" customHeight="1">
      <c r="A335" s="26">
        <v>43630</v>
      </c>
      <c r="B335" s="27"/>
      <c r="C335" s="32">
        <f>ROUND(9.82637641666667,4)</f>
        <v>9.8264</v>
      </c>
      <c r="D335" s="32">
        <f>F335</f>
        <v>10.26</v>
      </c>
      <c r="E335" s="32">
        <f>F335</f>
        <v>10.26</v>
      </c>
      <c r="F335" s="32">
        <f>ROUND(10.26,4)</f>
        <v>10.26</v>
      </c>
      <c r="G335" s="28"/>
      <c r="H335" s="42"/>
    </row>
    <row r="336" spans="1:8" ht="12.75" customHeight="1">
      <c r="A336" s="26">
        <v>43724</v>
      </c>
      <c r="B336" s="27"/>
      <c r="C336" s="32">
        <f>ROUND(9.82637641666667,4)</f>
        <v>9.8264</v>
      </c>
      <c r="D336" s="32">
        <f>F336</f>
        <v>10.3991</v>
      </c>
      <c r="E336" s="32">
        <f>F336</f>
        <v>10.3991</v>
      </c>
      <c r="F336" s="32">
        <f>ROUND(10.3991,4)</f>
        <v>10.3991</v>
      </c>
      <c r="G336" s="28"/>
      <c r="H336" s="42"/>
    </row>
    <row r="337" spans="1:8" ht="12.75" customHeight="1">
      <c r="A337" s="26">
        <v>43812</v>
      </c>
      <c r="B337" s="27"/>
      <c r="C337" s="32">
        <f>ROUND(9.82637641666667,4)</f>
        <v>9.8264</v>
      </c>
      <c r="D337" s="32">
        <f>F337</f>
        <v>10.533</v>
      </c>
      <c r="E337" s="32">
        <f>F337</f>
        <v>10.533</v>
      </c>
      <c r="F337" s="32">
        <f>ROUND(10.533,4)</f>
        <v>10.533</v>
      </c>
      <c r="G337" s="28"/>
      <c r="H337" s="42"/>
    </row>
    <row r="338" spans="1:8" ht="12.75" customHeight="1">
      <c r="A338" s="26">
        <v>43906</v>
      </c>
      <c r="B338" s="27"/>
      <c r="C338" s="32">
        <f>ROUND(9.82637641666667,4)</f>
        <v>9.8264</v>
      </c>
      <c r="D338" s="32">
        <f>F338</f>
        <v>10.6761</v>
      </c>
      <c r="E338" s="32">
        <f>F338</f>
        <v>10.6761</v>
      </c>
      <c r="F338" s="32">
        <f>ROUND(10.6761,4)</f>
        <v>10.6761</v>
      </c>
      <c r="G338" s="28"/>
      <c r="H338" s="42"/>
    </row>
    <row r="339" spans="1:8" ht="12.75" customHeight="1">
      <c r="A339" s="26">
        <v>43994</v>
      </c>
      <c r="B339" s="27"/>
      <c r="C339" s="32">
        <f>ROUND(9.82637641666667,4)</f>
        <v>9.8264</v>
      </c>
      <c r="D339" s="32">
        <f>F339</f>
        <v>10.8102</v>
      </c>
      <c r="E339" s="32">
        <f>F339</f>
        <v>10.8102</v>
      </c>
      <c r="F339" s="32">
        <f>ROUND(10.8102,4)</f>
        <v>10.8102</v>
      </c>
      <c r="G339" s="28"/>
      <c r="H339" s="42"/>
    </row>
    <row r="340" spans="1:8" ht="12.75" customHeight="1">
      <c r="A340" s="26" t="s">
        <v>68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43360</v>
      </c>
      <c r="B341" s="27"/>
      <c r="C341" s="32">
        <f>ROUND(3.60521623130011,4)</f>
        <v>3.6052</v>
      </c>
      <c r="D341" s="32">
        <f>F341</f>
        <v>3.897</v>
      </c>
      <c r="E341" s="32">
        <f>F341</f>
        <v>3.897</v>
      </c>
      <c r="F341" s="32">
        <f>ROUND(3.897,4)</f>
        <v>3.897</v>
      </c>
      <c r="G341" s="28"/>
      <c r="H341" s="42"/>
    </row>
    <row r="342" spans="1:8" ht="12.75" customHeight="1">
      <c r="A342" s="26">
        <v>43448</v>
      </c>
      <c r="B342" s="27"/>
      <c r="C342" s="32">
        <f>ROUND(3.60521623130011,4)</f>
        <v>3.6052</v>
      </c>
      <c r="D342" s="32">
        <f>F342</f>
        <v>3.9413</v>
      </c>
      <c r="E342" s="32">
        <f>F342</f>
        <v>3.9413</v>
      </c>
      <c r="F342" s="32">
        <f>ROUND(3.9413,4)</f>
        <v>3.9413</v>
      </c>
      <c r="G342" s="28"/>
      <c r="H342" s="42"/>
    </row>
    <row r="343" spans="1:8" ht="12.75" customHeight="1">
      <c r="A343" s="26">
        <v>43542</v>
      </c>
      <c r="B343" s="27"/>
      <c r="C343" s="32">
        <f>ROUND(3.60521623130011,4)</f>
        <v>3.6052</v>
      </c>
      <c r="D343" s="32">
        <f>F343</f>
        <v>3.9947</v>
      </c>
      <c r="E343" s="32">
        <f>F343</f>
        <v>3.9947</v>
      </c>
      <c r="F343" s="32">
        <f>ROUND(3.9947,4)</f>
        <v>3.9947</v>
      </c>
      <c r="G343" s="28"/>
      <c r="H343" s="42"/>
    </row>
    <row r="344" spans="1:8" ht="12.75" customHeight="1">
      <c r="A344" s="26" t="s">
        <v>69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43360</v>
      </c>
      <c r="B345" s="27"/>
      <c r="C345" s="32">
        <f>ROUND(1.287833125,4)</f>
        <v>1.2878</v>
      </c>
      <c r="D345" s="32">
        <f>F345</f>
        <v>1.2925</v>
      </c>
      <c r="E345" s="32">
        <f>F345</f>
        <v>1.2925</v>
      </c>
      <c r="F345" s="32">
        <f>ROUND(1.2925,4)</f>
        <v>1.2925</v>
      </c>
      <c r="G345" s="28"/>
      <c r="H345" s="42"/>
    </row>
    <row r="346" spans="1:8" ht="12.75" customHeight="1">
      <c r="A346" s="26">
        <v>43448</v>
      </c>
      <c r="B346" s="27"/>
      <c r="C346" s="32">
        <f>ROUND(1.287833125,4)</f>
        <v>1.2878</v>
      </c>
      <c r="D346" s="32">
        <f>F346</f>
        <v>1.2983</v>
      </c>
      <c r="E346" s="32">
        <f>F346</f>
        <v>1.2983</v>
      </c>
      <c r="F346" s="32">
        <f>ROUND(1.2983,4)</f>
        <v>1.2983</v>
      </c>
      <c r="G346" s="28"/>
      <c r="H346" s="42"/>
    </row>
    <row r="347" spans="1:8" ht="12.75" customHeight="1">
      <c r="A347" s="26">
        <v>43542</v>
      </c>
      <c r="B347" s="27"/>
      <c r="C347" s="32">
        <f>ROUND(1.287833125,4)</f>
        <v>1.2878</v>
      </c>
      <c r="D347" s="32">
        <f>F347</f>
        <v>1.3048</v>
      </c>
      <c r="E347" s="32">
        <f>F347</f>
        <v>1.3048</v>
      </c>
      <c r="F347" s="32">
        <f>ROUND(1.3048,4)</f>
        <v>1.3048</v>
      </c>
      <c r="G347" s="28"/>
      <c r="H347" s="42"/>
    </row>
    <row r="348" spans="1:8" ht="12.75" customHeight="1">
      <c r="A348" s="26">
        <v>43630</v>
      </c>
      <c r="B348" s="27"/>
      <c r="C348" s="32">
        <f>ROUND(1.287833125,4)</f>
        <v>1.2878</v>
      </c>
      <c r="D348" s="32">
        <f>F348</f>
        <v>1.3108</v>
      </c>
      <c r="E348" s="32">
        <f>F348</f>
        <v>1.3108</v>
      </c>
      <c r="F348" s="32">
        <f>ROUND(1.3108,4)</f>
        <v>1.3108</v>
      </c>
      <c r="G348" s="28"/>
      <c r="H348" s="42"/>
    </row>
    <row r="349" spans="1:8" ht="12.75" customHeight="1">
      <c r="A349" s="26">
        <v>43724</v>
      </c>
      <c r="B349" s="27"/>
      <c r="C349" s="32">
        <f>ROUND(1.287833125,4)</f>
        <v>1.2878</v>
      </c>
      <c r="D349" s="32">
        <f>F349</f>
        <v>1.3806</v>
      </c>
      <c r="E349" s="32">
        <f>F349</f>
        <v>1.3806</v>
      </c>
      <c r="F349" s="32">
        <f>ROUND(1.3806,4)</f>
        <v>1.3806</v>
      </c>
      <c r="G349" s="28"/>
      <c r="H349" s="42"/>
    </row>
    <row r="350" spans="1:8" ht="12.75" customHeight="1">
      <c r="A350" s="26">
        <v>43812</v>
      </c>
      <c r="B350" s="27"/>
      <c r="C350" s="32">
        <f>ROUND(1.287833125,4)</f>
        <v>1.2878</v>
      </c>
      <c r="D350" s="32">
        <f>F350</f>
        <v>1.3979</v>
      </c>
      <c r="E350" s="32">
        <f>F350</f>
        <v>1.3979</v>
      </c>
      <c r="F350" s="32">
        <f>ROUND(1.3979,4)</f>
        <v>1.3979</v>
      </c>
      <c r="G350" s="28"/>
      <c r="H350" s="42"/>
    </row>
    <row r="351" spans="1:8" ht="12.75" customHeight="1">
      <c r="A351" s="26">
        <v>43906</v>
      </c>
      <c r="B351" s="27"/>
      <c r="C351" s="32">
        <f>ROUND(1.287833125,4)</f>
        <v>1.2878</v>
      </c>
      <c r="D351" s="32">
        <f>F351</f>
        <v>1.4059</v>
      </c>
      <c r="E351" s="32">
        <f>F351</f>
        <v>1.4059</v>
      </c>
      <c r="F351" s="32">
        <f>ROUND(1.4059,4)</f>
        <v>1.4059</v>
      </c>
      <c r="G351" s="28"/>
      <c r="H351" s="42"/>
    </row>
    <row r="352" spans="1:8" ht="12.75" customHeight="1">
      <c r="A352" s="26">
        <v>43994</v>
      </c>
      <c r="B352" s="27"/>
      <c r="C352" s="32">
        <f>ROUND(1.287833125,4)</f>
        <v>1.2878</v>
      </c>
      <c r="D352" s="32">
        <f>F352</f>
        <v>1.4143</v>
      </c>
      <c r="E352" s="32">
        <f>F352</f>
        <v>1.4143</v>
      </c>
      <c r="F352" s="32">
        <f>ROUND(1.4143,4)</f>
        <v>1.4143</v>
      </c>
      <c r="G352" s="28"/>
      <c r="H352" s="42"/>
    </row>
    <row r="353" spans="1:8" ht="12.75" customHeight="1">
      <c r="A353" s="26" t="s">
        <v>70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43360</v>
      </c>
      <c r="B354" s="27"/>
      <c r="C354" s="32">
        <f>ROUND(10.0872181596587,4)</f>
        <v>10.0872</v>
      </c>
      <c r="D354" s="32">
        <f>F354</f>
        <v>10.176</v>
      </c>
      <c r="E354" s="32">
        <f>F354</f>
        <v>10.176</v>
      </c>
      <c r="F354" s="32">
        <f>ROUND(10.176,4)</f>
        <v>10.176</v>
      </c>
      <c r="G354" s="28"/>
      <c r="H354" s="42"/>
    </row>
    <row r="355" spans="1:8" ht="12.75" customHeight="1">
      <c r="A355" s="26">
        <v>43448</v>
      </c>
      <c r="B355" s="27"/>
      <c r="C355" s="32">
        <f>ROUND(10.0872181596587,4)</f>
        <v>10.0872</v>
      </c>
      <c r="D355" s="32">
        <f>F355</f>
        <v>10.3053</v>
      </c>
      <c r="E355" s="32">
        <f>F355</f>
        <v>10.3053</v>
      </c>
      <c r="F355" s="32">
        <f>ROUND(10.3053,4)</f>
        <v>10.3053</v>
      </c>
      <c r="G355" s="28"/>
      <c r="H355" s="42"/>
    </row>
    <row r="356" spans="1:8" ht="12.75" customHeight="1">
      <c r="A356" s="26">
        <v>43542</v>
      </c>
      <c r="B356" s="27"/>
      <c r="C356" s="32">
        <f>ROUND(10.0872181596587,4)</f>
        <v>10.0872</v>
      </c>
      <c r="D356" s="32">
        <f>F356</f>
        <v>10.4445</v>
      </c>
      <c r="E356" s="32">
        <f>F356</f>
        <v>10.4445</v>
      </c>
      <c r="F356" s="32">
        <f>ROUND(10.4445,4)</f>
        <v>10.4445</v>
      </c>
      <c r="G356" s="28"/>
      <c r="H356" s="42"/>
    </row>
    <row r="357" spans="1:8" ht="12.75" customHeight="1">
      <c r="A357" s="26">
        <v>43630</v>
      </c>
      <c r="B357" s="27"/>
      <c r="C357" s="32">
        <f>ROUND(10.0872181596587,4)</f>
        <v>10.0872</v>
      </c>
      <c r="D357" s="32">
        <f>F357</f>
        <v>10.4588</v>
      </c>
      <c r="E357" s="32">
        <f>F357</f>
        <v>10.4588</v>
      </c>
      <c r="F357" s="32">
        <f>ROUND(10.4588,4)</f>
        <v>10.4588</v>
      </c>
      <c r="G357" s="28"/>
      <c r="H357" s="42"/>
    </row>
    <row r="358" spans="1:8" ht="12.75" customHeight="1">
      <c r="A358" s="26">
        <v>43724</v>
      </c>
      <c r="B358" s="27"/>
      <c r="C358" s="32">
        <f>ROUND(10.0872181596587,4)</f>
        <v>10.0872</v>
      </c>
      <c r="D358" s="32">
        <f>F358</f>
        <v>10.5908</v>
      </c>
      <c r="E358" s="32">
        <f>F358</f>
        <v>10.5908</v>
      </c>
      <c r="F358" s="32">
        <f>ROUND(10.5908,4)</f>
        <v>10.5908</v>
      </c>
      <c r="G358" s="28"/>
      <c r="H358" s="42"/>
    </row>
    <row r="359" spans="1:8" ht="12.75" customHeight="1">
      <c r="A359" s="26">
        <v>43812</v>
      </c>
      <c r="B359" s="27"/>
      <c r="C359" s="32">
        <f>ROUND(10.0872181596587,4)</f>
        <v>10.0872</v>
      </c>
      <c r="D359" s="32">
        <f>F359</f>
        <v>10.7362</v>
      </c>
      <c r="E359" s="32">
        <f>F359</f>
        <v>10.7362</v>
      </c>
      <c r="F359" s="32">
        <f>ROUND(10.7362,4)</f>
        <v>10.7362</v>
      </c>
      <c r="G359" s="28"/>
      <c r="H359" s="42"/>
    </row>
    <row r="360" spans="1:8" ht="12.75" customHeight="1">
      <c r="A360" s="26">
        <v>43906</v>
      </c>
      <c r="B360" s="27"/>
      <c r="C360" s="32">
        <f>ROUND(10.0872181596587,4)</f>
        <v>10.0872</v>
      </c>
      <c r="D360" s="32">
        <f>F360</f>
        <v>10.771</v>
      </c>
      <c r="E360" s="32">
        <f>F360</f>
        <v>10.771</v>
      </c>
      <c r="F360" s="32">
        <f>ROUND(10.771,4)</f>
        <v>10.771</v>
      </c>
      <c r="G360" s="28"/>
      <c r="H360" s="42"/>
    </row>
    <row r="361" spans="1:8" ht="12.75" customHeight="1">
      <c r="A361" s="26">
        <v>43994</v>
      </c>
      <c r="B361" s="27"/>
      <c r="C361" s="32">
        <f>ROUND(10.0872181596587,4)</f>
        <v>10.0872</v>
      </c>
      <c r="D361" s="32">
        <f>F361</f>
        <v>10.9036</v>
      </c>
      <c r="E361" s="32">
        <f>F361</f>
        <v>10.9036</v>
      </c>
      <c r="F361" s="32">
        <f>ROUND(10.9036,4)</f>
        <v>10.9036</v>
      </c>
      <c r="G361" s="28"/>
      <c r="H361" s="42"/>
    </row>
    <row r="362" spans="1:8" ht="12.75" customHeight="1">
      <c r="A362" s="26" t="s">
        <v>71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43360</v>
      </c>
      <c r="B363" s="27"/>
      <c r="C363" s="32">
        <f>ROUND(1.99225297976669,4)</f>
        <v>1.9923</v>
      </c>
      <c r="D363" s="32">
        <f>F363</f>
        <v>1.9907</v>
      </c>
      <c r="E363" s="32">
        <f>F363</f>
        <v>1.9907</v>
      </c>
      <c r="F363" s="32">
        <f>ROUND(1.9907,4)</f>
        <v>1.9907</v>
      </c>
      <c r="G363" s="28"/>
      <c r="H363" s="42"/>
    </row>
    <row r="364" spans="1:8" ht="12.75" customHeight="1">
      <c r="A364" s="26">
        <v>43448</v>
      </c>
      <c r="B364" s="27"/>
      <c r="C364" s="32">
        <f>ROUND(1.99225297976669,4)</f>
        <v>1.9923</v>
      </c>
      <c r="D364" s="32">
        <f>F364</f>
        <v>2.0085</v>
      </c>
      <c r="E364" s="32">
        <f>F364</f>
        <v>2.0085</v>
      </c>
      <c r="F364" s="32">
        <f>ROUND(2.0085,4)</f>
        <v>2.0085</v>
      </c>
      <c r="G364" s="28"/>
      <c r="H364" s="42"/>
    </row>
    <row r="365" spans="1:8" ht="12.75" customHeight="1">
      <c r="A365" s="26">
        <v>43542</v>
      </c>
      <c r="B365" s="27"/>
      <c r="C365" s="32">
        <f>ROUND(1.99225297976669,4)</f>
        <v>1.9923</v>
      </c>
      <c r="D365" s="32">
        <f>F365</f>
        <v>2.0276</v>
      </c>
      <c r="E365" s="32">
        <f>F365</f>
        <v>2.0276</v>
      </c>
      <c r="F365" s="32">
        <f>ROUND(2.0276,4)</f>
        <v>2.0276</v>
      </c>
      <c r="G365" s="28"/>
      <c r="H365" s="42"/>
    </row>
    <row r="366" spans="1:8" ht="12.75" customHeight="1">
      <c r="A366" s="26">
        <v>43630</v>
      </c>
      <c r="B366" s="27"/>
      <c r="C366" s="32">
        <f>ROUND(1.99225297976669,4)</f>
        <v>1.9923</v>
      </c>
      <c r="D366" s="32">
        <f>F366</f>
        <v>2.0457</v>
      </c>
      <c r="E366" s="32">
        <f>F366</f>
        <v>2.0457</v>
      </c>
      <c r="F366" s="32">
        <f>ROUND(2.0457,4)</f>
        <v>2.0457</v>
      </c>
      <c r="G366" s="28"/>
      <c r="H366" s="42"/>
    </row>
    <row r="367" spans="1:8" ht="12.75" customHeight="1">
      <c r="A367" s="26">
        <v>43724</v>
      </c>
      <c r="B367" s="27"/>
      <c r="C367" s="32">
        <f>ROUND(1.99225297976669,4)</f>
        <v>1.9923</v>
      </c>
      <c r="D367" s="32">
        <f>F367</f>
        <v>2.0664</v>
      </c>
      <c r="E367" s="32">
        <f>F367</f>
        <v>2.0664</v>
      </c>
      <c r="F367" s="32">
        <f>ROUND(2.0664,4)</f>
        <v>2.0664</v>
      </c>
      <c r="G367" s="28"/>
      <c r="H367" s="42"/>
    </row>
    <row r="368" spans="1:8" ht="12.75" customHeight="1">
      <c r="A368" s="26">
        <v>43812</v>
      </c>
      <c r="B368" s="27"/>
      <c r="C368" s="32">
        <f>ROUND(1.99225297976669,4)</f>
        <v>1.9923</v>
      </c>
      <c r="D368" s="32">
        <f>F368</f>
        <v>2.0863</v>
      </c>
      <c r="E368" s="32">
        <f>F368</f>
        <v>2.0863</v>
      </c>
      <c r="F368" s="32">
        <f>ROUND(2.0863,4)</f>
        <v>2.0863</v>
      </c>
      <c r="G368" s="28"/>
      <c r="H368" s="42"/>
    </row>
    <row r="369" spans="1:8" ht="12.75" customHeight="1">
      <c r="A369" s="26">
        <v>43906</v>
      </c>
      <c r="B369" s="27"/>
      <c r="C369" s="32">
        <f>ROUND(1.99225297976669,4)</f>
        <v>1.9923</v>
      </c>
      <c r="D369" s="32">
        <f>F369</f>
        <v>2.1074</v>
      </c>
      <c r="E369" s="32">
        <f>F369</f>
        <v>2.1074</v>
      </c>
      <c r="F369" s="32">
        <f>ROUND(2.1074,4)</f>
        <v>2.1074</v>
      </c>
      <c r="G369" s="28"/>
      <c r="H369" s="42"/>
    </row>
    <row r="370" spans="1:8" ht="12.75" customHeight="1">
      <c r="A370" s="26">
        <v>43994</v>
      </c>
      <c r="B370" s="27"/>
      <c r="C370" s="32">
        <f>ROUND(1.99225297976669,4)</f>
        <v>1.9923</v>
      </c>
      <c r="D370" s="32">
        <f>F370</f>
        <v>2.1271</v>
      </c>
      <c r="E370" s="32">
        <f>F370</f>
        <v>2.1271</v>
      </c>
      <c r="F370" s="32">
        <f>ROUND(2.1271,4)</f>
        <v>2.1271</v>
      </c>
      <c r="G370" s="28"/>
      <c r="H370" s="42"/>
    </row>
    <row r="371" spans="1:8" ht="12.75" customHeight="1">
      <c r="A371" s="26" t="s">
        <v>72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43360</v>
      </c>
      <c r="B372" s="27"/>
      <c r="C372" s="32">
        <f>ROUND(2.07993026324056,4)</f>
        <v>2.0799</v>
      </c>
      <c r="D372" s="32">
        <f>F372</f>
        <v>2.1071</v>
      </c>
      <c r="E372" s="32">
        <f>F372</f>
        <v>2.1071</v>
      </c>
      <c r="F372" s="32">
        <f>ROUND(2.1071,4)</f>
        <v>2.1071</v>
      </c>
      <c r="G372" s="28"/>
      <c r="H372" s="42"/>
    </row>
    <row r="373" spans="1:8" ht="12.75" customHeight="1">
      <c r="A373" s="26">
        <v>43448</v>
      </c>
      <c r="B373" s="27"/>
      <c r="C373" s="32">
        <f>ROUND(2.07993026324056,4)</f>
        <v>2.0799</v>
      </c>
      <c r="D373" s="32">
        <f>F373</f>
        <v>2.1465</v>
      </c>
      <c r="E373" s="32">
        <f>F373</f>
        <v>2.1465</v>
      </c>
      <c r="F373" s="32">
        <f>ROUND(2.1465,4)</f>
        <v>2.1465</v>
      </c>
      <c r="G373" s="28"/>
      <c r="H373" s="42"/>
    </row>
    <row r="374" spans="1:8" ht="12.75" customHeight="1">
      <c r="A374" s="26">
        <v>43542</v>
      </c>
      <c r="B374" s="27"/>
      <c r="C374" s="32">
        <f>ROUND(2.07993026324056,4)</f>
        <v>2.0799</v>
      </c>
      <c r="D374" s="32">
        <f>F374</f>
        <v>2.1911</v>
      </c>
      <c r="E374" s="32">
        <f>F374</f>
        <v>2.1911</v>
      </c>
      <c r="F374" s="32">
        <f>ROUND(2.1911,4)</f>
        <v>2.1911</v>
      </c>
      <c r="G374" s="28"/>
      <c r="H374" s="42"/>
    </row>
    <row r="375" spans="1:8" ht="12.75" customHeight="1">
      <c r="A375" s="26">
        <v>43630</v>
      </c>
      <c r="B375" s="27"/>
      <c r="C375" s="32">
        <f>ROUND(2.07993026324056,4)</f>
        <v>2.0799</v>
      </c>
      <c r="D375" s="32">
        <f>F375</f>
        <v>2.2329</v>
      </c>
      <c r="E375" s="32">
        <f>F375</f>
        <v>2.2329</v>
      </c>
      <c r="F375" s="32">
        <f>ROUND(2.2329,4)</f>
        <v>2.2329</v>
      </c>
      <c r="G375" s="28"/>
      <c r="H375" s="42"/>
    </row>
    <row r="376" spans="1:8" ht="12.75" customHeight="1">
      <c r="A376" s="26">
        <v>43724</v>
      </c>
      <c r="B376" s="27"/>
      <c r="C376" s="32">
        <f>ROUND(2.07993026324056,4)</f>
        <v>2.0799</v>
      </c>
      <c r="D376" s="32">
        <f>F376</f>
        <v>2.3541</v>
      </c>
      <c r="E376" s="32">
        <f>F376</f>
        <v>2.3541</v>
      </c>
      <c r="F376" s="32">
        <f>ROUND(2.3541,4)</f>
        <v>2.3541</v>
      </c>
      <c r="G376" s="28"/>
      <c r="H376" s="42"/>
    </row>
    <row r="377" spans="1:8" ht="12.75" customHeight="1">
      <c r="A377" s="26">
        <v>43812</v>
      </c>
      <c r="B377" s="27"/>
      <c r="C377" s="32">
        <f>ROUND(2.07993026324056,4)</f>
        <v>2.0799</v>
      </c>
      <c r="D377" s="32">
        <f>F377</f>
        <v>2.4099</v>
      </c>
      <c r="E377" s="32">
        <f>F377</f>
        <v>2.4099</v>
      </c>
      <c r="F377" s="32">
        <f>ROUND(2.4099,4)</f>
        <v>2.4099</v>
      </c>
      <c r="G377" s="28"/>
      <c r="H377" s="42"/>
    </row>
    <row r="378" spans="1:8" ht="12.75" customHeight="1">
      <c r="A378" s="26">
        <v>43906</v>
      </c>
      <c r="B378" s="27"/>
      <c r="C378" s="32">
        <f>ROUND(2.07993026324056,4)</f>
        <v>2.0799</v>
      </c>
      <c r="D378" s="32">
        <f>F378</f>
        <v>2.4778</v>
      </c>
      <c r="E378" s="32">
        <f>F378</f>
        <v>2.4778</v>
      </c>
      <c r="F378" s="32">
        <f>ROUND(2.4778,4)</f>
        <v>2.4778</v>
      </c>
      <c r="G378" s="28"/>
      <c r="H378" s="42"/>
    </row>
    <row r="379" spans="1:8" ht="12.75" customHeight="1">
      <c r="A379" s="26">
        <v>43994</v>
      </c>
      <c r="B379" s="27"/>
      <c r="C379" s="32">
        <f>ROUND(2.07993026324056,4)</f>
        <v>2.0799</v>
      </c>
      <c r="D379" s="32">
        <f>F379</f>
        <v>2.5453</v>
      </c>
      <c r="E379" s="32">
        <f>F379</f>
        <v>2.5453</v>
      </c>
      <c r="F379" s="32">
        <f>ROUND(2.5453,4)</f>
        <v>2.5453</v>
      </c>
      <c r="G379" s="28"/>
      <c r="H379" s="42"/>
    </row>
    <row r="380" spans="1:8" ht="12.75" customHeight="1">
      <c r="A380" s="26" t="s">
        <v>73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43360</v>
      </c>
      <c r="B381" s="27"/>
      <c r="C381" s="32">
        <f>ROUND(15.504319,4)</f>
        <v>15.5043</v>
      </c>
      <c r="D381" s="32">
        <f>F381</f>
        <v>15.6955</v>
      </c>
      <c r="E381" s="32">
        <f>F381</f>
        <v>15.6955</v>
      </c>
      <c r="F381" s="32">
        <f>ROUND(15.6955,4)</f>
        <v>15.6955</v>
      </c>
      <c r="G381" s="28"/>
      <c r="H381" s="42"/>
    </row>
    <row r="382" spans="1:8" ht="12.75" customHeight="1">
      <c r="A382" s="26">
        <v>43448</v>
      </c>
      <c r="B382" s="27"/>
      <c r="C382" s="32">
        <f>ROUND(15.504319,4)</f>
        <v>15.5043</v>
      </c>
      <c r="D382" s="32">
        <f>F382</f>
        <v>15.9815</v>
      </c>
      <c r="E382" s="32">
        <f>F382</f>
        <v>15.9815</v>
      </c>
      <c r="F382" s="32">
        <f>ROUND(15.9815,4)</f>
        <v>15.9815</v>
      </c>
      <c r="G382" s="28"/>
      <c r="H382" s="42"/>
    </row>
    <row r="383" spans="1:8" ht="12.75" customHeight="1">
      <c r="A383" s="26">
        <v>43542</v>
      </c>
      <c r="B383" s="27"/>
      <c r="C383" s="32">
        <f>ROUND(15.504319,4)</f>
        <v>15.5043</v>
      </c>
      <c r="D383" s="32">
        <f>F383</f>
        <v>16.3044</v>
      </c>
      <c r="E383" s="32">
        <f>F383</f>
        <v>16.3044</v>
      </c>
      <c r="F383" s="32">
        <f>ROUND(16.3044,4)</f>
        <v>16.3044</v>
      </c>
      <c r="G383" s="28"/>
      <c r="H383" s="42"/>
    </row>
    <row r="384" spans="1:8" ht="12.75" customHeight="1">
      <c r="A384" s="26">
        <v>43630</v>
      </c>
      <c r="B384" s="27"/>
      <c r="C384" s="32">
        <f>ROUND(15.504319,4)</f>
        <v>15.5043</v>
      </c>
      <c r="D384" s="32">
        <f>F384</f>
        <v>16.6132</v>
      </c>
      <c r="E384" s="32">
        <f>F384</f>
        <v>16.6132</v>
      </c>
      <c r="F384" s="32">
        <f>ROUND(16.6132,4)</f>
        <v>16.6132</v>
      </c>
      <c r="G384" s="28"/>
      <c r="H384" s="42"/>
    </row>
    <row r="385" spans="1:8" ht="12.75" customHeight="1">
      <c r="A385" s="26">
        <v>43724</v>
      </c>
      <c r="B385" s="27"/>
      <c r="C385" s="32">
        <f>ROUND(15.504319,4)</f>
        <v>15.5043</v>
      </c>
      <c r="D385" s="32">
        <f>F385</f>
        <v>16.9152</v>
      </c>
      <c r="E385" s="32">
        <f>F385</f>
        <v>16.9152</v>
      </c>
      <c r="F385" s="32">
        <f>ROUND(16.9152,4)</f>
        <v>16.9152</v>
      </c>
      <c r="G385" s="28"/>
      <c r="H385" s="42"/>
    </row>
    <row r="386" spans="1:8" ht="12.75" customHeight="1">
      <c r="A386" s="26">
        <v>43812</v>
      </c>
      <c r="B386" s="27"/>
      <c r="C386" s="32">
        <f>ROUND(15.504319,4)</f>
        <v>15.5043</v>
      </c>
      <c r="D386" s="32">
        <f>F386</f>
        <v>17.2667</v>
      </c>
      <c r="E386" s="32">
        <f>F386</f>
        <v>17.2667</v>
      </c>
      <c r="F386" s="32">
        <f>ROUND(17.2667,4)</f>
        <v>17.2667</v>
      </c>
      <c r="G386" s="28"/>
      <c r="H386" s="42"/>
    </row>
    <row r="387" spans="1:8" ht="12.75" customHeight="1">
      <c r="A387" s="26">
        <v>43906</v>
      </c>
      <c r="B387" s="27"/>
      <c r="C387" s="32">
        <f>ROUND(15.504319,4)</f>
        <v>15.5043</v>
      </c>
      <c r="D387" s="32">
        <f>F387</f>
        <v>17.6992</v>
      </c>
      <c r="E387" s="32">
        <f>F387</f>
        <v>17.6992</v>
      </c>
      <c r="F387" s="32">
        <f>ROUND(17.6992,4)</f>
        <v>17.6992</v>
      </c>
      <c r="G387" s="28"/>
      <c r="H387" s="42"/>
    </row>
    <row r="388" spans="1:8" ht="12.75" customHeight="1">
      <c r="A388" s="26">
        <v>43994</v>
      </c>
      <c r="B388" s="27"/>
      <c r="C388" s="32">
        <f>ROUND(15.504319,4)</f>
        <v>15.5043</v>
      </c>
      <c r="D388" s="32">
        <f>F388</f>
        <v>18.1089</v>
      </c>
      <c r="E388" s="32">
        <f>F388</f>
        <v>18.1089</v>
      </c>
      <c r="F388" s="32">
        <f>ROUND(18.1089,4)</f>
        <v>18.1089</v>
      </c>
      <c r="G388" s="28"/>
      <c r="H388" s="42"/>
    </row>
    <row r="389" spans="1:8" ht="12.75" customHeight="1">
      <c r="A389" s="26" t="s">
        <v>74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43360</v>
      </c>
      <c r="B390" s="27"/>
      <c r="C390" s="32">
        <f>ROUND(13.2597376589566,4)</f>
        <v>13.2597</v>
      </c>
      <c r="D390" s="32">
        <f>F390</f>
        <v>13.4312</v>
      </c>
      <c r="E390" s="32">
        <f>F390</f>
        <v>13.4312</v>
      </c>
      <c r="F390" s="32">
        <f>ROUND(13.4312,4)</f>
        <v>13.4312</v>
      </c>
      <c r="G390" s="28"/>
      <c r="H390" s="42"/>
    </row>
    <row r="391" spans="1:8" ht="12.75" customHeight="1">
      <c r="A391" s="26">
        <v>43448</v>
      </c>
      <c r="B391" s="27"/>
      <c r="C391" s="32">
        <f>ROUND(13.2597376589566,4)</f>
        <v>13.2597</v>
      </c>
      <c r="D391" s="32">
        <f>F391</f>
        <v>13.6888</v>
      </c>
      <c r="E391" s="32">
        <f>F391</f>
        <v>13.6888</v>
      </c>
      <c r="F391" s="32">
        <f>ROUND(13.6888,4)</f>
        <v>13.6888</v>
      </c>
      <c r="G391" s="28"/>
      <c r="H391" s="42"/>
    </row>
    <row r="392" spans="1:8" ht="12.75" customHeight="1">
      <c r="A392" s="26">
        <v>43542</v>
      </c>
      <c r="B392" s="27"/>
      <c r="C392" s="32">
        <f>ROUND(13.2597376589566,4)</f>
        <v>13.2597</v>
      </c>
      <c r="D392" s="32">
        <f>F392</f>
        <v>13.9812</v>
      </c>
      <c r="E392" s="32">
        <f>F392</f>
        <v>13.9812</v>
      </c>
      <c r="F392" s="32">
        <f>ROUND(13.9812,4)</f>
        <v>13.9812</v>
      </c>
      <c r="G392" s="28"/>
      <c r="H392" s="42"/>
    </row>
    <row r="393" spans="1:8" ht="12.75" customHeight="1">
      <c r="A393" s="26">
        <v>43630</v>
      </c>
      <c r="B393" s="27"/>
      <c r="C393" s="32">
        <f>ROUND(13.2597376589566,4)</f>
        <v>13.2597</v>
      </c>
      <c r="D393" s="32">
        <f>F393</f>
        <v>14.2594</v>
      </c>
      <c r="E393" s="32">
        <f>F393</f>
        <v>14.2594</v>
      </c>
      <c r="F393" s="32">
        <f>ROUND(14.2594,4)</f>
        <v>14.2594</v>
      </c>
      <c r="G393" s="28"/>
      <c r="H393" s="42"/>
    </row>
    <row r="394" spans="1:8" ht="12.75" customHeight="1">
      <c r="A394" s="26">
        <v>43724</v>
      </c>
      <c r="B394" s="27"/>
      <c r="C394" s="32">
        <f>ROUND(13.2597376589566,4)</f>
        <v>13.2597</v>
      </c>
      <c r="D394" s="32">
        <f>F394</f>
        <v>14.5265</v>
      </c>
      <c r="E394" s="32">
        <f>F394</f>
        <v>14.5265</v>
      </c>
      <c r="F394" s="32">
        <f>ROUND(14.5265,4)</f>
        <v>14.5265</v>
      </c>
      <c r="G394" s="28"/>
      <c r="H394" s="42"/>
    </row>
    <row r="395" spans="1:8" ht="12.75" customHeight="1">
      <c r="A395" s="26">
        <v>43812</v>
      </c>
      <c r="B395" s="27"/>
      <c r="C395" s="32">
        <f>ROUND(13.2597376589566,4)</f>
        <v>13.2597</v>
      </c>
      <c r="D395" s="32">
        <f>F395</f>
        <v>15.1137</v>
      </c>
      <c r="E395" s="32">
        <f>F395</f>
        <v>15.1137</v>
      </c>
      <c r="F395" s="32">
        <f>ROUND(15.1137,4)</f>
        <v>15.1137</v>
      </c>
      <c r="G395" s="28"/>
      <c r="H395" s="42"/>
    </row>
    <row r="396" spans="1:8" ht="12.75" customHeight="1">
      <c r="A396" s="26">
        <v>43906</v>
      </c>
      <c r="B396" s="27"/>
      <c r="C396" s="32">
        <f>ROUND(13.2597376589566,4)</f>
        <v>13.2597</v>
      </c>
      <c r="D396" s="32">
        <f>F396</f>
        <v>15.3925</v>
      </c>
      <c r="E396" s="32">
        <f>F396</f>
        <v>15.3925</v>
      </c>
      <c r="F396" s="32">
        <f>ROUND(15.3925,4)</f>
        <v>15.3925</v>
      </c>
      <c r="G396" s="28"/>
      <c r="H396" s="42"/>
    </row>
    <row r="397" spans="1:8" ht="12.75" customHeight="1">
      <c r="A397" s="26">
        <v>43994</v>
      </c>
      <c r="B397" s="27"/>
      <c r="C397" s="32">
        <f>ROUND(13.2597376589566,4)</f>
        <v>13.2597</v>
      </c>
      <c r="D397" s="32">
        <f>F397</f>
        <v>15.6779</v>
      </c>
      <c r="E397" s="32">
        <f>F397</f>
        <v>15.6779</v>
      </c>
      <c r="F397" s="32">
        <f>ROUND(15.6779,4)</f>
        <v>15.6779</v>
      </c>
      <c r="G397" s="28"/>
      <c r="H397" s="42"/>
    </row>
    <row r="398" spans="1:8" ht="12.75" customHeight="1">
      <c r="A398" s="26" t="s">
        <v>75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43360</v>
      </c>
      <c r="B399" s="27"/>
      <c r="C399" s="32">
        <f>ROUND(17.52462790625,4)</f>
        <v>17.5246</v>
      </c>
      <c r="D399" s="32">
        <f>F399</f>
        <v>17.7072</v>
      </c>
      <c r="E399" s="32">
        <f>F399</f>
        <v>17.7072</v>
      </c>
      <c r="F399" s="32">
        <f>ROUND(17.7072,4)</f>
        <v>17.7072</v>
      </c>
      <c r="G399" s="28"/>
      <c r="H399" s="42"/>
    </row>
    <row r="400" spans="1:8" ht="12.75" customHeight="1">
      <c r="A400" s="26">
        <v>43448</v>
      </c>
      <c r="B400" s="27"/>
      <c r="C400" s="32">
        <f>ROUND(17.52462790625,4)</f>
        <v>17.5246</v>
      </c>
      <c r="D400" s="32">
        <f>F400</f>
        <v>17.9765</v>
      </c>
      <c r="E400" s="32">
        <f>F400</f>
        <v>17.9765</v>
      </c>
      <c r="F400" s="32">
        <f>ROUND(17.9765,4)</f>
        <v>17.9765</v>
      </c>
      <c r="G400" s="28"/>
      <c r="H400" s="42"/>
    </row>
    <row r="401" spans="1:8" ht="12.75" customHeight="1">
      <c r="A401" s="26">
        <v>43542</v>
      </c>
      <c r="B401" s="27"/>
      <c r="C401" s="32">
        <f>ROUND(17.52462790625,4)</f>
        <v>17.5246</v>
      </c>
      <c r="D401" s="32">
        <f>F401</f>
        <v>18.2752</v>
      </c>
      <c r="E401" s="32">
        <f>F401</f>
        <v>18.2752</v>
      </c>
      <c r="F401" s="32">
        <f>ROUND(18.2752,4)</f>
        <v>18.2752</v>
      </c>
      <c r="G401" s="28"/>
      <c r="H401" s="42"/>
    </row>
    <row r="402" spans="1:8" ht="12.75" customHeight="1">
      <c r="A402" s="26">
        <v>43630</v>
      </c>
      <c r="B402" s="27"/>
      <c r="C402" s="32">
        <f>ROUND(17.52462790625,4)</f>
        <v>17.5246</v>
      </c>
      <c r="D402" s="32">
        <f>F402</f>
        <v>18.5563</v>
      </c>
      <c r="E402" s="32">
        <f>F402</f>
        <v>18.5563</v>
      </c>
      <c r="F402" s="32">
        <f>ROUND(18.5563,4)</f>
        <v>18.5563</v>
      </c>
      <c r="G402" s="28"/>
      <c r="H402" s="42"/>
    </row>
    <row r="403" spans="1:8" ht="12.75" customHeight="1">
      <c r="A403" s="26">
        <v>43724</v>
      </c>
      <c r="B403" s="27"/>
      <c r="C403" s="32">
        <f>ROUND(17.52462790625,4)</f>
        <v>17.5246</v>
      </c>
      <c r="D403" s="32">
        <f>F403</f>
        <v>18.875</v>
      </c>
      <c r="E403" s="32">
        <f>F403</f>
        <v>18.875</v>
      </c>
      <c r="F403" s="32">
        <f>ROUND(18.875,4)</f>
        <v>18.875</v>
      </c>
      <c r="G403" s="28"/>
      <c r="H403" s="42"/>
    </row>
    <row r="404" spans="1:8" ht="12.75" customHeight="1">
      <c r="A404" s="26">
        <v>43812</v>
      </c>
      <c r="B404" s="27"/>
      <c r="C404" s="32">
        <f>ROUND(17.52462790625,4)</f>
        <v>17.5246</v>
      </c>
      <c r="D404" s="32">
        <f>F404</f>
        <v>19.1805</v>
      </c>
      <c r="E404" s="32">
        <f>F404</f>
        <v>19.1805</v>
      </c>
      <c r="F404" s="32">
        <f>ROUND(19.1805,4)</f>
        <v>19.1805</v>
      </c>
      <c r="G404" s="28"/>
      <c r="H404" s="42"/>
    </row>
    <row r="405" spans="1:8" ht="12.75" customHeight="1">
      <c r="A405" s="26">
        <v>43906</v>
      </c>
      <c r="B405" s="27"/>
      <c r="C405" s="32">
        <f>ROUND(17.52462790625,4)</f>
        <v>17.5246</v>
      </c>
      <c r="D405" s="32">
        <f>F405</f>
        <v>19.2696</v>
      </c>
      <c r="E405" s="32">
        <f>F405</f>
        <v>19.2696</v>
      </c>
      <c r="F405" s="32">
        <f>ROUND(19.2696,4)</f>
        <v>19.2696</v>
      </c>
      <c r="G405" s="28"/>
      <c r="H405" s="42"/>
    </row>
    <row r="406" spans="1:8" ht="12.75" customHeight="1">
      <c r="A406" s="26">
        <v>43994</v>
      </c>
      <c r="B406" s="27"/>
      <c r="C406" s="32">
        <f>ROUND(17.52462790625,4)</f>
        <v>17.5246</v>
      </c>
      <c r="D406" s="32">
        <f>F406</f>
        <v>19.8126</v>
      </c>
      <c r="E406" s="32">
        <f>F406</f>
        <v>19.8126</v>
      </c>
      <c r="F406" s="32">
        <f>ROUND(19.8126,4)</f>
        <v>19.8126</v>
      </c>
      <c r="G406" s="28"/>
      <c r="H406" s="42"/>
    </row>
    <row r="407" spans="1:8" ht="12.75" customHeight="1">
      <c r="A407" s="26" t="s">
        <v>76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43360</v>
      </c>
      <c r="B408" s="27"/>
      <c r="C408" s="32">
        <f>ROUND(1.68715759969423,4)</f>
        <v>1.6872</v>
      </c>
      <c r="D408" s="32">
        <f>F408</f>
        <v>1.7016</v>
      </c>
      <c r="E408" s="32">
        <f>F408</f>
        <v>1.7016</v>
      </c>
      <c r="F408" s="32">
        <f>ROUND(1.7016,4)</f>
        <v>1.7016</v>
      </c>
      <c r="G408" s="28"/>
      <c r="H408" s="42"/>
    </row>
    <row r="409" spans="1:8" ht="12.75" customHeight="1">
      <c r="A409" s="26">
        <v>43448</v>
      </c>
      <c r="B409" s="27"/>
      <c r="C409" s="32">
        <f>ROUND(1.68715759969423,4)</f>
        <v>1.6872</v>
      </c>
      <c r="D409" s="32">
        <f>F409</f>
        <v>1.7231</v>
      </c>
      <c r="E409" s="32">
        <f>F409</f>
        <v>1.7231</v>
      </c>
      <c r="F409" s="32">
        <f>ROUND(1.7231,4)</f>
        <v>1.7231</v>
      </c>
      <c r="G409" s="28"/>
      <c r="H409" s="42"/>
    </row>
    <row r="410" spans="1:8" ht="12.75" customHeight="1">
      <c r="A410" s="26">
        <v>43542</v>
      </c>
      <c r="B410" s="27"/>
      <c r="C410" s="32">
        <f>ROUND(1.68715759969423,4)</f>
        <v>1.6872</v>
      </c>
      <c r="D410" s="32">
        <f>F410</f>
        <v>1.7461</v>
      </c>
      <c r="E410" s="32">
        <f>F410</f>
        <v>1.7461</v>
      </c>
      <c r="F410" s="32">
        <f>ROUND(1.7461,4)</f>
        <v>1.7461</v>
      </c>
      <c r="G410" s="28"/>
      <c r="H410" s="42"/>
    </row>
    <row r="411" spans="1:8" ht="12.75" customHeight="1">
      <c r="A411" s="26">
        <v>43630</v>
      </c>
      <c r="B411" s="27"/>
      <c r="C411" s="32">
        <f>ROUND(1.68715759969423,4)</f>
        <v>1.6872</v>
      </c>
      <c r="D411" s="32">
        <f>F411</f>
        <v>1.7679</v>
      </c>
      <c r="E411" s="32">
        <f>F411</f>
        <v>1.7679</v>
      </c>
      <c r="F411" s="32">
        <f>ROUND(1.7679,4)</f>
        <v>1.7679</v>
      </c>
      <c r="G411" s="28"/>
      <c r="H411" s="42"/>
    </row>
    <row r="412" spans="1:8" ht="12.75" customHeight="1">
      <c r="A412" s="26">
        <v>43724</v>
      </c>
      <c r="B412" s="27"/>
      <c r="C412" s="32">
        <f>ROUND(1.68715759969423,4)</f>
        <v>1.6872</v>
      </c>
      <c r="D412" s="32">
        <f>F412</f>
        <v>1.8548</v>
      </c>
      <c r="E412" s="32">
        <f>F412</f>
        <v>1.8548</v>
      </c>
      <c r="F412" s="32">
        <f>ROUND(1.8548,4)</f>
        <v>1.8548</v>
      </c>
      <c r="G412" s="28"/>
      <c r="H412" s="42"/>
    </row>
    <row r="413" spans="1:8" ht="12.75" customHeight="1">
      <c r="A413" s="26">
        <v>43812</v>
      </c>
      <c r="B413" s="27"/>
      <c r="C413" s="32">
        <f>ROUND(1.68715759969423,4)</f>
        <v>1.6872</v>
      </c>
      <c r="D413" s="32">
        <f>F413</f>
        <v>1.8814</v>
      </c>
      <c r="E413" s="32">
        <f>F413</f>
        <v>1.8814</v>
      </c>
      <c r="F413" s="32">
        <f>ROUND(1.8814,4)</f>
        <v>1.8814</v>
      </c>
      <c r="G413" s="28"/>
      <c r="H413" s="42"/>
    </row>
    <row r="414" spans="1:8" ht="12.75" customHeight="1">
      <c r="A414" s="26">
        <v>43906</v>
      </c>
      <c r="B414" s="27"/>
      <c r="C414" s="32">
        <f>ROUND(1.68715759969423,4)</f>
        <v>1.6872</v>
      </c>
      <c r="D414" s="32">
        <f>F414</f>
        <v>1.9093</v>
      </c>
      <c r="E414" s="32">
        <f>F414</f>
        <v>1.9093</v>
      </c>
      <c r="F414" s="32">
        <f>ROUND(1.9093,4)</f>
        <v>1.9093</v>
      </c>
      <c r="G414" s="28"/>
      <c r="H414" s="42"/>
    </row>
    <row r="415" spans="1:8" ht="12.75" customHeight="1">
      <c r="A415" s="26">
        <v>43994</v>
      </c>
      <c r="B415" s="27"/>
      <c r="C415" s="32">
        <f>ROUND(1.68715759969423,4)</f>
        <v>1.6872</v>
      </c>
      <c r="D415" s="32">
        <f>F415</f>
        <v>1.9371</v>
      </c>
      <c r="E415" s="32">
        <f>F415</f>
        <v>1.9371</v>
      </c>
      <c r="F415" s="32">
        <f>ROUND(1.9371,4)</f>
        <v>1.9371</v>
      </c>
      <c r="G415" s="28"/>
      <c r="H415" s="42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43360</v>
      </c>
      <c r="B417" s="27"/>
      <c r="C417" s="33">
        <f>ROUND(0.117845979287407,6)</f>
        <v>0.117846</v>
      </c>
      <c r="D417" s="33">
        <f>F417</f>
        <v>0.119243</v>
      </c>
      <c r="E417" s="33">
        <f>F417</f>
        <v>0.119243</v>
      </c>
      <c r="F417" s="33">
        <f>ROUND(0.119243,6)</f>
        <v>0.119243</v>
      </c>
      <c r="G417" s="28"/>
      <c r="H417" s="42"/>
    </row>
    <row r="418" spans="1:8" ht="12.75" customHeight="1">
      <c r="A418" s="26">
        <v>43448</v>
      </c>
      <c r="B418" s="27"/>
      <c r="C418" s="33">
        <f>ROUND(0.117845979287407,6)</f>
        <v>0.117846</v>
      </c>
      <c r="D418" s="33">
        <f>F418</f>
        <v>0.121365</v>
      </c>
      <c r="E418" s="33">
        <f>F418</f>
        <v>0.121365</v>
      </c>
      <c r="F418" s="33">
        <f>ROUND(0.121365,6)</f>
        <v>0.121365</v>
      </c>
      <c r="G418" s="28"/>
      <c r="H418" s="42"/>
    </row>
    <row r="419" spans="1:8" ht="12.75" customHeight="1">
      <c r="A419" s="26">
        <v>43542</v>
      </c>
      <c r="B419" s="27"/>
      <c r="C419" s="33">
        <f>ROUND(0.117845979287407,6)</f>
        <v>0.117846</v>
      </c>
      <c r="D419" s="33">
        <f>F419</f>
        <v>0.12379</v>
      </c>
      <c r="E419" s="33">
        <f>F419</f>
        <v>0.12379</v>
      </c>
      <c r="F419" s="33">
        <f>ROUND(0.12379,6)</f>
        <v>0.12379</v>
      </c>
      <c r="G419" s="28"/>
      <c r="H419" s="42"/>
    </row>
    <row r="420" spans="1:8" ht="12.75" customHeight="1">
      <c r="A420" s="26">
        <v>43630</v>
      </c>
      <c r="B420" s="27"/>
      <c r="C420" s="33">
        <f>ROUND(0.117845979287407,6)</f>
        <v>0.117846</v>
      </c>
      <c r="D420" s="33">
        <f>F420</f>
        <v>0.126095</v>
      </c>
      <c r="E420" s="33">
        <f>F420</f>
        <v>0.126095</v>
      </c>
      <c r="F420" s="33">
        <f>ROUND(0.126095,6)</f>
        <v>0.126095</v>
      </c>
      <c r="G420" s="28"/>
      <c r="H420" s="42"/>
    </row>
    <row r="421" spans="1:8" ht="12.75" customHeight="1">
      <c r="A421" s="26">
        <v>43724</v>
      </c>
      <c r="B421" s="27"/>
      <c r="C421" s="33">
        <f>ROUND(0.117845979287407,6)</f>
        <v>0.117846</v>
      </c>
      <c r="D421" s="33">
        <f>F421</f>
        <v>0.12872</v>
      </c>
      <c r="E421" s="33">
        <f>F421</f>
        <v>0.12872</v>
      </c>
      <c r="F421" s="33">
        <f>ROUND(0.12872,6)</f>
        <v>0.12872</v>
      </c>
      <c r="G421" s="28"/>
      <c r="H421" s="42"/>
    </row>
    <row r="422" spans="1:8" ht="12.75" customHeight="1">
      <c r="A422" s="26">
        <v>43812</v>
      </c>
      <c r="B422" s="27"/>
      <c r="C422" s="33">
        <f>ROUND(0.117845979287407,6)</f>
        <v>0.117846</v>
      </c>
      <c r="D422" s="33">
        <f>F422</f>
        <v>0.134406</v>
      </c>
      <c r="E422" s="33">
        <f>F422</f>
        <v>0.134406</v>
      </c>
      <c r="F422" s="33">
        <f>ROUND(0.134406,6)</f>
        <v>0.134406</v>
      </c>
      <c r="G422" s="28"/>
      <c r="H422" s="42"/>
    </row>
    <row r="423" spans="1:8" ht="12.75" customHeight="1">
      <c r="A423" s="26">
        <v>43906</v>
      </c>
      <c r="B423" s="27"/>
      <c r="C423" s="33">
        <f>ROUND(0.117845979287407,6)</f>
        <v>0.117846</v>
      </c>
      <c r="D423" s="33">
        <f>F423</f>
        <v>0.136737</v>
      </c>
      <c r="E423" s="33">
        <f>F423</f>
        <v>0.136737</v>
      </c>
      <c r="F423" s="33">
        <f>ROUND(0.136737,6)</f>
        <v>0.136737</v>
      </c>
      <c r="G423" s="28"/>
      <c r="H423" s="42"/>
    </row>
    <row r="424" spans="1:8" ht="12.75" customHeight="1">
      <c r="A424" s="26">
        <v>43994</v>
      </c>
      <c r="B424" s="27"/>
      <c r="C424" s="33">
        <f>ROUND(0.117845979287407,6)</f>
        <v>0.117846</v>
      </c>
      <c r="D424" s="33">
        <f>F424</f>
        <v>0.138656</v>
      </c>
      <c r="E424" s="33">
        <f>F424</f>
        <v>0.138656</v>
      </c>
      <c r="F424" s="33">
        <f>ROUND(0.138656,6)</f>
        <v>0.138656</v>
      </c>
      <c r="G424" s="28"/>
      <c r="H424" s="42"/>
    </row>
    <row r="425" spans="1:8" ht="12.75" customHeight="1">
      <c r="A425" s="26" t="s">
        <v>78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43360</v>
      </c>
      <c r="B426" s="27"/>
      <c r="C426" s="32">
        <f>ROUND(0.131897410358566,4)</f>
        <v>0.1319</v>
      </c>
      <c r="D426" s="32">
        <f>F426</f>
        <v>0.1315</v>
      </c>
      <c r="E426" s="32">
        <f>F426</f>
        <v>0.1315</v>
      </c>
      <c r="F426" s="32">
        <f>ROUND(0.1315,4)</f>
        <v>0.1315</v>
      </c>
      <c r="G426" s="28"/>
      <c r="H426" s="42"/>
    </row>
    <row r="427" spans="1:8" ht="12.75" customHeight="1">
      <c r="A427" s="26">
        <v>43448</v>
      </c>
      <c r="B427" s="27"/>
      <c r="C427" s="32">
        <f>ROUND(0.131897410358566,4)</f>
        <v>0.1319</v>
      </c>
      <c r="D427" s="32">
        <f>F427</f>
        <v>0.1315</v>
      </c>
      <c r="E427" s="32">
        <f>F427</f>
        <v>0.1315</v>
      </c>
      <c r="F427" s="32">
        <f>ROUND(0.1315,4)</f>
        <v>0.1315</v>
      </c>
      <c r="G427" s="28"/>
      <c r="H427" s="42"/>
    </row>
    <row r="428" spans="1:8" ht="12.75" customHeight="1">
      <c r="A428" s="26">
        <v>43542</v>
      </c>
      <c r="B428" s="27"/>
      <c r="C428" s="32">
        <f>ROUND(0.131897410358566,4)</f>
        <v>0.1319</v>
      </c>
      <c r="D428" s="32">
        <f>F428</f>
        <v>0.1293</v>
      </c>
      <c r="E428" s="32">
        <f>F428</f>
        <v>0.1293</v>
      </c>
      <c r="F428" s="32">
        <f>ROUND(0.1293,4)</f>
        <v>0.1293</v>
      </c>
      <c r="G428" s="28"/>
      <c r="H428" s="42"/>
    </row>
    <row r="429" spans="1:8" ht="12.75" customHeight="1">
      <c r="A429" s="26">
        <v>43630</v>
      </c>
      <c r="B429" s="27"/>
      <c r="C429" s="32">
        <f>ROUND(0.131897410358566,4)</f>
        <v>0.1319</v>
      </c>
      <c r="D429" s="32">
        <f>F429</f>
        <v>0.1274</v>
      </c>
      <c r="E429" s="32">
        <f>F429</f>
        <v>0.1274</v>
      </c>
      <c r="F429" s="32">
        <f>ROUND(0.1274,4)</f>
        <v>0.1274</v>
      </c>
      <c r="G429" s="28"/>
      <c r="H429" s="42"/>
    </row>
    <row r="430" spans="1:8" ht="12.75" customHeight="1">
      <c r="A430" s="26">
        <v>43724</v>
      </c>
      <c r="B430" s="27"/>
      <c r="C430" s="32">
        <f>ROUND(0.131897410358566,4)</f>
        <v>0.1319</v>
      </c>
      <c r="D430" s="32">
        <f>F430</f>
        <v>0.1261</v>
      </c>
      <c r="E430" s="32">
        <f>F430</f>
        <v>0.1261</v>
      </c>
      <c r="F430" s="32">
        <f>ROUND(0.1261,4)</f>
        <v>0.1261</v>
      </c>
      <c r="G430" s="28"/>
      <c r="H430" s="42"/>
    </row>
    <row r="431" spans="1:8" ht="12.75" customHeight="1">
      <c r="A431" s="26">
        <v>43812</v>
      </c>
      <c r="B431" s="27"/>
      <c r="C431" s="32">
        <f>ROUND(0.131897410358566,4)</f>
        <v>0.1319</v>
      </c>
      <c r="D431" s="32">
        <f>F431</f>
        <v>0.125</v>
      </c>
      <c r="E431" s="32">
        <f>F431</f>
        <v>0.125</v>
      </c>
      <c r="F431" s="32">
        <f>ROUND(0.125,4)</f>
        <v>0.125</v>
      </c>
      <c r="G431" s="28"/>
      <c r="H431" s="42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43360</v>
      </c>
      <c r="B433" s="27"/>
      <c r="C433" s="32">
        <f>ROUND(1.63348505594,4)</f>
        <v>1.6335</v>
      </c>
      <c r="D433" s="32">
        <f>F433</f>
        <v>1.6505</v>
      </c>
      <c r="E433" s="32">
        <f>F433</f>
        <v>1.6505</v>
      </c>
      <c r="F433" s="32">
        <f>ROUND(1.6505,4)</f>
        <v>1.6505</v>
      </c>
      <c r="G433" s="28"/>
      <c r="H433" s="42"/>
    </row>
    <row r="434" spans="1:8" ht="12.75" customHeight="1">
      <c r="A434" s="26">
        <v>43448</v>
      </c>
      <c r="B434" s="27"/>
      <c r="C434" s="32">
        <f>ROUND(1.63348505594,4)</f>
        <v>1.6335</v>
      </c>
      <c r="D434" s="32">
        <f>F434</f>
        <v>1.6748</v>
      </c>
      <c r="E434" s="32">
        <f>F434</f>
        <v>1.6748</v>
      </c>
      <c r="F434" s="32">
        <f>ROUND(1.6748,4)</f>
        <v>1.6748</v>
      </c>
      <c r="G434" s="28"/>
      <c r="H434" s="42"/>
    </row>
    <row r="435" spans="1:8" ht="12.75" customHeight="1">
      <c r="A435" s="26">
        <v>43542</v>
      </c>
      <c r="B435" s="27"/>
      <c r="C435" s="32">
        <f>ROUND(1.63348505594,4)</f>
        <v>1.6335</v>
      </c>
      <c r="D435" s="32">
        <f>F435</f>
        <v>1.7012</v>
      </c>
      <c r="E435" s="32">
        <f>F435</f>
        <v>1.7012</v>
      </c>
      <c r="F435" s="32">
        <f>ROUND(1.7012,4)</f>
        <v>1.7012</v>
      </c>
      <c r="G435" s="28"/>
      <c r="H435" s="42"/>
    </row>
    <row r="436" spans="1:8" ht="12.75" customHeight="1">
      <c r="A436" s="26">
        <v>43630</v>
      </c>
      <c r="B436" s="27"/>
      <c r="C436" s="32">
        <f>ROUND(1.63348505594,4)</f>
        <v>1.6335</v>
      </c>
      <c r="D436" s="32">
        <f>F436</f>
        <v>1.7261</v>
      </c>
      <c r="E436" s="32">
        <f>F436</f>
        <v>1.7261</v>
      </c>
      <c r="F436" s="32">
        <f>ROUND(1.7261,4)</f>
        <v>1.7261</v>
      </c>
      <c r="G436" s="28"/>
      <c r="H436" s="42"/>
    </row>
    <row r="437" spans="1:8" ht="12.75" customHeight="1">
      <c r="A437" s="26">
        <v>43724</v>
      </c>
      <c r="B437" s="27"/>
      <c r="C437" s="32">
        <f>ROUND(1.63348505594,4)</f>
        <v>1.6335</v>
      </c>
      <c r="D437" s="32">
        <f>F437</f>
        <v>1.7517</v>
      </c>
      <c r="E437" s="32">
        <f>F437</f>
        <v>1.7517</v>
      </c>
      <c r="F437" s="32">
        <f>ROUND(1.7517,4)</f>
        <v>1.7517</v>
      </c>
      <c r="G437" s="28"/>
      <c r="H437" s="42"/>
    </row>
    <row r="438" spans="1:8" ht="12.75" customHeight="1">
      <c r="A438" s="26">
        <v>43812</v>
      </c>
      <c r="B438" s="27"/>
      <c r="C438" s="32">
        <f>ROUND(1.63348505594,4)</f>
        <v>1.6335</v>
      </c>
      <c r="D438" s="32">
        <f>F438</f>
        <v>1.7801</v>
      </c>
      <c r="E438" s="32">
        <f>F438</f>
        <v>1.7801</v>
      </c>
      <c r="F438" s="32">
        <f>ROUND(1.7801,4)</f>
        <v>1.7801</v>
      </c>
      <c r="G438" s="28"/>
      <c r="H438" s="42"/>
    </row>
    <row r="439" spans="1:8" ht="12.75" customHeight="1">
      <c r="A439" s="26">
        <v>43906</v>
      </c>
      <c r="B439" s="27"/>
      <c r="C439" s="32">
        <f>ROUND(1.63348505594,4)</f>
        <v>1.6335</v>
      </c>
      <c r="D439" s="32">
        <f>F439</f>
        <v>1.8134</v>
      </c>
      <c r="E439" s="32">
        <f>F439</f>
        <v>1.8134</v>
      </c>
      <c r="F439" s="32">
        <f>ROUND(1.8134,4)</f>
        <v>1.8134</v>
      </c>
      <c r="G439" s="28"/>
      <c r="H439" s="42"/>
    </row>
    <row r="440" spans="1:8" ht="12.75" customHeight="1">
      <c r="A440" s="26">
        <v>43994</v>
      </c>
      <c r="B440" s="27"/>
      <c r="C440" s="32">
        <f>ROUND(1.63348505594,4)</f>
        <v>1.6335</v>
      </c>
      <c r="D440" s="32">
        <f>F440</f>
        <v>1.8449</v>
      </c>
      <c r="E440" s="32">
        <f>F440</f>
        <v>1.8449</v>
      </c>
      <c r="F440" s="32">
        <f>ROUND(1.8449,4)</f>
        <v>1.8449</v>
      </c>
      <c r="G440" s="28"/>
      <c r="H440" s="42"/>
    </row>
    <row r="441" spans="1:8" ht="12.75" customHeight="1">
      <c r="A441" s="26" t="s">
        <v>80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ROUND(8.96649675,4)</f>
        <v>8.9665</v>
      </c>
      <c r="D442" s="32">
        <f>F442</f>
        <v>9.0355</v>
      </c>
      <c r="E442" s="32">
        <f>F442</f>
        <v>9.0355</v>
      </c>
      <c r="F442" s="32">
        <f>ROUND(9.0355,4)</f>
        <v>9.0355</v>
      </c>
      <c r="G442" s="28"/>
      <c r="H442" s="42"/>
    </row>
    <row r="443" spans="1:8" ht="12.75" customHeight="1">
      <c r="A443" s="26">
        <v>43448</v>
      </c>
      <c r="B443" s="27"/>
      <c r="C443" s="32">
        <f>ROUND(8.96649675,4)</f>
        <v>8.9665</v>
      </c>
      <c r="D443" s="32">
        <f>F443</f>
        <v>9.1404</v>
      </c>
      <c r="E443" s="32">
        <f>F443</f>
        <v>9.1404</v>
      </c>
      <c r="F443" s="32">
        <f>ROUND(9.1404,4)</f>
        <v>9.1404</v>
      </c>
      <c r="G443" s="28"/>
      <c r="H443" s="42"/>
    </row>
    <row r="444" spans="1:8" ht="12.75" customHeight="1">
      <c r="A444" s="26">
        <v>43542</v>
      </c>
      <c r="B444" s="27"/>
      <c r="C444" s="32">
        <f>ROUND(8.96649675,4)</f>
        <v>8.9665</v>
      </c>
      <c r="D444" s="32">
        <f>F444</f>
        <v>9.2577</v>
      </c>
      <c r="E444" s="32">
        <f>F444</f>
        <v>9.2577</v>
      </c>
      <c r="F444" s="32">
        <f>ROUND(9.2577,4)</f>
        <v>9.2577</v>
      </c>
      <c r="G444" s="28"/>
      <c r="H444" s="42"/>
    </row>
    <row r="445" spans="1:8" ht="12.75" customHeight="1">
      <c r="A445" s="26">
        <v>43630</v>
      </c>
      <c r="B445" s="27"/>
      <c r="C445" s="32">
        <f>ROUND(8.96649675,4)</f>
        <v>8.9665</v>
      </c>
      <c r="D445" s="32">
        <f>F445</f>
        <v>9.3713</v>
      </c>
      <c r="E445" s="32">
        <f>F445</f>
        <v>9.3713</v>
      </c>
      <c r="F445" s="32">
        <f>ROUND(9.3713,4)</f>
        <v>9.3713</v>
      </c>
      <c r="G445" s="28"/>
      <c r="H445" s="42"/>
    </row>
    <row r="446" spans="1:8" ht="12.75" customHeight="1">
      <c r="A446" s="26">
        <v>43724</v>
      </c>
      <c r="B446" s="27"/>
      <c r="C446" s="32">
        <f>ROUND(8.96649675,4)</f>
        <v>8.9665</v>
      </c>
      <c r="D446" s="32">
        <f>F446</f>
        <v>9.8405</v>
      </c>
      <c r="E446" s="32">
        <f>F446</f>
        <v>9.8405</v>
      </c>
      <c r="F446" s="32">
        <f>ROUND(9.8405,4)</f>
        <v>9.8405</v>
      </c>
      <c r="G446" s="28"/>
      <c r="H446" s="42"/>
    </row>
    <row r="447" spans="1:8" ht="12.75" customHeight="1">
      <c r="A447" s="26">
        <v>43812</v>
      </c>
      <c r="B447" s="27"/>
      <c r="C447" s="32">
        <f>ROUND(8.96649675,4)</f>
        <v>8.9665</v>
      </c>
      <c r="D447" s="32">
        <f>F447</f>
        <v>9.9881</v>
      </c>
      <c r="E447" s="32">
        <f>F447</f>
        <v>9.9881</v>
      </c>
      <c r="F447" s="32">
        <f>ROUND(9.9881,4)</f>
        <v>9.9881</v>
      </c>
      <c r="G447" s="28"/>
      <c r="H447" s="42"/>
    </row>
    <row r="448" spans="1:8" ht="12.75" customHeight="1">
      <c r="A448" s="26">
        <v>43906</v>
      </c>
      <c r="B448" s="27"/>
      <c r="C448" s="32">
        <f>ROUND(8.96649675,4)</f>
        <v>8.9665</v>
      </c>
      <c r="D448" s="32">
        <f>F448</f>
        <v>10.1427</v>
      </c>
      <c r="E448" s="32">
        <f>F448</f>
        <v>10.1427</v>
      </c>
      <c r="F448" s="32">
        <f>ROUND(10.1427,4)</f>
        <v>10.1427</v>
      </c>
      <c r="G448" s="28"/>
      <c r="H448" s="42"/>
    </row>
    <row r="449" spans="1:8" ht="12.75" customHeight="1">
      <c r="A449" s="26">
        <v>43994</v>
      </c>
      <c r="B449" s="27"/>
      <c r="C449" s="32">
        <f>ROUND(8.96649675,4)</f>
        <v>8.9665</v>
      </c>
      <c r="D449" s="32">
        <f>F449</f>
        <v>10.2966</v>
      </c>
      <c r="E449" s="32">
        <f>F449</f>
        <v>10.2966</v>
      </c>
      <c r="F449" s="32">
        <f>ROUND(10.2966,4)</f>
        <v>10.2966</v>
      </c>
      <c r="G449" s="28"/>
      <c r="H449" s="42"/>
    </row>
    <row r="450" spans="1:8" ht="12.75" customHeight="1">
      <c r="A450" s="26" t="s">
        <v>81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43360</v>
      </c>
      <c r="B451" s="27"/>
      <c r="C451" s="32">
        <f>ROUND(9.72247714841599,4)</f>
        <v>9.7225</v>
      </c>
      <c r="D451" s="32">
        <f>F451</f>
        <v>9.8117</v>
      </c>
      <c r="E451" s="32">
        <f>F451</f>
        <v>9.8117</v>
      </c>
      <c r="F451" s="32">
        <f>ROUND(9.8117,4)</f>
        <v>9.8117</v>
      </c>
      <c r="G451" s="28"/>
      <c r="H451" s="42"/>
    </row>
    <row r="452" spans="1:8" ht="12.75" customHeight="1">
      <c r="A452" s="26">
        <v>43448</v>
      </c>
      <c r="B452" s="27"/>
      <c r="C452" s="32">
        <f>ROUND(9.72247714841599,4)</f>
        <v>9.7225</v>
      </c>
      <c r="D452" s="32">
        <f>F452</f>
        <v>9.9462</v>
      </c>
      <c r="E452" s="32">
        <f>F452</f>
        <v>9.9462</v>
      </c>
      <c r="F452" s="32">
        <f>ROUND(9.9462,4)</f>
        <v>9.9462</v>
      </c>
      <c r="G452" s="28"/>
      <c r="H452" s="42"/>
    </row>
    <row r="453" spans="1:8" ht="12.75" customHeight="1">
      <c r="A453" s="26">
        <v>43542</v>
      </c>
      <c r="B453" s="27"/>
      <c r="C453" s="32">
        <f>ROUND(9.72247714841599,4)</f>
        <v>9.7225</v>
      </c>
      <c r="D453" s="32">
        <f>F453</f>
        <v>10.0913</v>
      </c>
      <c r="E453" s="32">
        <f>F453</f>
        <v>10.0913</v>
      </c>
      <c r="F453" s="32">
        <f>ROUND(10.0913,4)</f>
        <v>10.0913</v>
      </c>
      <c r="G453" s="28"/>
      <c r="H453" s="42"/>
    </row>
    <row r="454" spans="1:8" ht="12.75" customHeight="1">
      <c r="A454" s="26">
        <v>43630</v>
      </c>
      <c r="B454" s="27"/>
      <c r="C454" s="32">
        <f>ROUND(9.72247714841599,4)</f>
        <v>9.7225</v>
      </c>
      <c r="D454" s="32">
        <f>F454</f>
        <v>10.23</v>
      </c>
      <c r="E454" s="32">
        <f>F454</f>
        <v>10.23</v>
      </c>
      <c r="F454" s="32">
        <f>ROUND(10.23,4)</f>
        <v>10.23</v>
      </c>
      <c r="G454" s="28"/>
      <c r="H454" s="42"/>
    </row>
    <row r="455" spans="1:8" ht="12.75" customHeight="1">
      <c r="A455" s="26">
        <v>43724</v>
      </c>
      <c r="B455" s="27"/>
      <c r="C455" s="32">
        <f>ROUND(9.72247714841599,4)</f>
        <v>9.7225</v>
      </c>
      <c r="D455" s="32">
        <f>F455</f>
        <v>10.7495</v>
      </c>
      <c r="E455" s="32">
        <f>F455</f>
        <v>10.7495</v>
      </c>
      <c r="F455" s="32">
        <f>ROUND(10.7495,4)</f>
        <v>10.7495</v>
      </c>
      <c r="G455" s="28"/>
      <c r="H455" s="42"/>
    </row>
    <row r="456" spans="1:8" ht="12.75" customHeight="1">
      <c r="A456" s="26">
        <v>43812</v>
      </c>
      <c r="B456" s="27"/>
      <c r="C456" s="32">
        <f>ROUND(9.72247714841599,4)</f>
        <v>9.7225</v>
      </c>
      <c r="D456" s="32">
        <f>F456</f>
        <v>10.9158</v>
      </c>
      <c r="E456" s="32">
        <f>F456</f>
        <v>10.9158</v>
      </c>
      <c r="F456" s="32">
        <f>ROUND(10.9158,4)</f>
        <v>10.9158</v>
      </c>
      <c r="G456" s="28"/>
      <c r="H456" s="42"/>
    </row>
    <row r="457" spans="1:8" ht="12.75" customHeight="1">
      <c r="A457" s="26">
        <v>43906</v>
      </c>
      <c r="B457" s="27"/>
      <c r="C457" s="32">
        <f>ROUND(9.72247714841599,4)</f>
        <v>9.7225</v>
      </c>
      <c r="D457" s="32">
        <f>F457</f>
        <v>11.0889</v>
      </c>
      <c r="E457" s="32">
        <f>F457</f>
        <v>11.0889</v>
      </c>
      <c r="F457" s="32">
        <f>ROUND(11.0889,4)</f>
        <v>11.0889</v>
      </c>
      <c r="G457" s="28"/>
      <c r="H457" s="42"/>
    </row>
    <row r="458" spans="1:8" ht="12.75" customHeight="1">
      <c r="A458" s="26">
        <v>43994</v>
      </c>
      <c r="B458" s="27"/>
      <c r="C458" s="32">
        <f>ROUND(9.72247714841599,4)</f>
        <v>9.7225</v>
      </c>
      <c r="D458" s="32">
        <f>F458</f>
        <v>11.2626</v>
      </c>
      <c r="E458" s="32">
        <f>F458</f>
        <v>11.2626</v>
      </c>
      <c r="F458" s="32">
        <f>ROUND(11.2626,4)</f>
        <v>11.2626</v>
      </c>
      <c r="G458" s="28"/>
      <c r="H458" s="42"/>
    </row>
    <row r="459" spans="1:8" ht="12.75" customHeight="1">
      <c r="A459" s="26" t="s">
        <v>82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43360</v>
      </c>
      <c r="B460" s="27"/>
      <c r="C460" s="32">
        <f>ROUND(2.73814693050472,4)</f>
        <v>2.7381</v>
      </c>
      <c r="D460" s="32">
        <f>F460</f>
        <v>2.6857</v>
      </c>
      <c r="E460" s="32">
        <f>F460</f>
        <v>2.6857</v>
      </c>
      <c r="F460" s="32">
        <f>ROUND(2.6857,4)</f>
        <v>2.6857</v>
      </c>
      <c r="G460" s="28"/>
      <c r="H460" s="42"/>
    </row>
    <row r="461" spans="1:8" ht="12.75" customHeight="1">
      <c r="A461" s="26">
        <v>43448</v>
      </c>
      <c r="B461" s="27"/>
      <c r="C461" s="32">
        <f>ROUND(2.73814693050472,4)</f>
        <v>2.7381</v>
      </c>
      <c r="D461" s="32">
        <f>F461</f>
        <v>2.607</v>
      </c>
      <c r="E461" s="32">
        <f>F461</f>
        <v>2.607</v>
      </c>
      <c r="F461" s="32">
        <f>ROUND(2.607,4)</f>
        <v>2.607</v>
      </c>
      <c r="G461" s="28"/>
      <c r="H461" s="42"/>
    </row>
    <row r="462" spans="1:8" ht="12.75" customHeight="1">
      <c r="A462" s="26">
        <v>43542</v>
      </c>
      <c r="B462" s="27"/>
      <c r="C462" s="32">
        <f>ROUND(2.73814693050472,4)</f>
        <v>2.7381</v>
      </c>
      <c r="D462" s="32">
        <f>F462</f>
        <v>2.5243</v>
      </c>
      <c r="E462" s="32">
        <f>F462</f>
        <v>2.5243</v>
      </c>
      <c r="F462" s="32">
        <f>ROUND(2.5243,4)</f>
        <v>2.5243</v>
      </c>
      <c r="G462" s="28"/>
      <c r="H462" s="42"/>
    </row>
    <row r="463" spans="1:8" ht="12.75" customHeight="1">
      <c r="A463" s="26">
        <v>43630</v>
      </c>
      <c r="B463" s="27"/>
      <c r="C463" s="32">
        <f>ROUND(2.73814693050472,4)</f>
        <v>2.7381</v>
      </c>
      <c r="D463" s="32">
        <f>F463</f>
        <v>2.4536</v>
      </c>
      <c r="E463" s="32">
        <f>F463</f>
        <v>2.4536</v>
      </c>
      <c r="F463" s="32">
        <f>ROUND(2.4536,4)</f>
        <v>2.4536</v>
      </c>
      <c r="G463" s="28"/>
      <c r="H463" s="42"/>
    </row>
    <row r="464" spans="1:8" ht="12.75" customHeight="1">
      <c r="A464" s="26">
        <v>43724</v>
      </c>
      <c r="B464" s="27"/>
      <c r="C464" s="32">
        <f>ROUND(2.73814693050472,4)</f>
        <v>2.7381</v>
      </c>
      <c r="D464" s="32">
        <f>F464</f>
        <v>2.4689</v>
      </c>
      <c r="E464" s="32">
        <f>F464</f>
        <v>2.4689</v>
      </c>
      <c r="F464" s="32">
        <f>ROUND(2.4689,4)</f>
        <v>2.4689</v>
      </c>
      <c r="G464" s="28"/>
      <c r="H464" s="42"/>
    </row>
    <row r="465" spans="1:8" ht="12.75" customHeight="1">
      <c r="A465" s="26">
        <v>43812</v>
      </c>
      <c r="B465" s="27"/>
      <c r="C465" s="32">
        <f>ROUND(2.73814693050472,4)</f>
        <v>2.7381</v>
      </c>
      <c r="D465" s="32">
        <f>F465</f>
        <v>2.4117</v>
      </c>
      <c r="E465" s="32">
        <f>F465</f>
        <v>2.4117</v>
      </c>
      <c r="F465" s="32">
        <f>ROUND(2.4117,4)</f>
        <v>2.4117</v>
      </c>
      <c r="G465" s="28"/>
      <c r="H465" s="42"/>
    </row>
    <row r="466" spans="1:8" ht="12.75" customHeight="1">
      <c r="A466" s="26">
        <v>43906</v>
      </c>
      <c r="B466" s="27"/>
      <c r="C466" s="32">
        <f>ROUND(2.73814693050472,4)</f>
        <v>2.7381</v>
      </c>
      <c r="D466" s="32">
        <f>F466</f>
        <v>2.3542</v>
      </c>
      <c r="E466" s="32">
        <f>F466</f>
        <v>2.3542</v>
      </c>
      <c r="F466" s="32">
        <f>ROUND(2.3542,4)</f>
        <v>2.3542</v>
      </c>
      <c r="G466" s="28"/>
      <c r="H466" s="42"/>
    </row>
    <row r="467" spans="1:8" ht="12.75" customHeight="1">
      <c r="A467" s="26">
        <v>43994</v>
      </c>
      <c r="B467" s="27"/>
      <c r="C467" s="32">
        <f>ROUND(2.73814693050472,4)</f>
        <v>2.7381</v>
      </c>
      <c r="D467" s="32">
        <f>F467</f>
        <v>2.3061</v>
      </c>
      <c r="E467" s="32">
        <f>F467</f>
        <v>2.3061</v>
      </c>
      <c r="F467" s="32">
        <f>ROUND(2.3061,4)</f>
        <v>2.3061</v>
      </c>
      <c r="G467" s="28"/>
      <c r="H467" s="42"/>
    </row>
    <row r="468" spans="1:8" ht="12.75" customHeight="1">
      <c r="A468" s="26" t="s">
        <v>83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43360</v>
      </c>
      <c r="B469" s="27"/>
      <c r="C469" s="32">
        <f>ROUND(13.2425,4)</f>
        <v>13.2425</v>
      </c>
      <c r="D469" s="32">
        <f>F469</f>
        <v>13.3468</v>
      </c>
      <c r="E469" s="32">
        <f>F469</f>
        <v>13.3468</v>
      </c>
      <c r="F469" s="32">
        <f>ROUND(13.3468,4)</f>
        <v>13.3468</v>
      </c>
      <c r="G469" s="28"/>
      <c r="H469" s="42"/>
    </row>
    <row r="470" spans="1:8" ht="12.75" customHeight="1">
      <c r="A470" s="26">
        <v>43448</v>
      </c>
      <c r="B470" s="27"/>
      <c r="C470" s="32">
        <f>ROUND(13.2425,4)</f>
        <v>13.2425</v>
      </c>
      <c r="D470" s="32">
        <f>F470</f>
        <v>13.4966</v>
      </c>
      <c r="E470" s="32">
        <f>F470</f>
        <v>13.4966</v>
      </c>
      <c r="F470" s="32">
        <f>ROUND(13.4966,4)</f>
        <v>13.4966</v>
      </c>
      <c r="G470" s="28"/>
      <c r="H470" s="42"/>
    </row>
    <row r="471" spans="1:8" ht="12.75" customHeight="1">
      <c r="A471" s="26">
        <v>43542</v>
      </c>
      <c r="B471" s="27"/>
      <c r="C471" s="32">
        <f>ROUND(13.2425,4)</f>
        <v>13.2425</v>
      </c>
      <c r="D471" s="32">
        <f>F471</f>
        <v>13.6569</v>
      </c>
      <c r="E471" s="32">
        <f>F471</f>
        <v>13.6569</v>
      </c>
      <c r="F471" s="32">
        <f>ROUND(13.6569,4)</f>
        <v>13.6569</v>
      </c>
      <c r="G471" s="28"/>
      <c r="H471" s="42"/>
    </row>
    <row r="472" spans="1:8" ht="12.75" customHeight="1">
      <c r="A472" s="26">
        <v>43630</v>
      </c>
      <c r="B472" s="27"/>
      <c r="C472" s="32">
        <f>ROUND(13.2425,4)</f>
        <v>13.2425</v>
      </c>
      <c r="D472" s="32">
        <f>F472</f>
        <v>13.8077</v>
      </c>
      <c r="E472" s="32">
        <f>F472</f>
        <v>13.8077</v>
      </c>
      <c r="F472" s="32">
        <f>ROUND(13.8077,4)</f>
        <v>13.8077</v>
      </c>
      <c r="G472" s="28"/>
      <c r="H472" s="42"/>
    </row>
    <row r="473" spans="1:8" ht="12.75" customHeight="1">
      <c r="A473" s="26">
        <v>43724</v>
      </c>
      <c r="B473" s="27"/>
      <c r="C473" s="32">
        <f>ROUND(13.2425,4)</f>
        <v>13.2425</v>
      </c>
      <c r="D473" s="32">
        <f>F473</f>
        <v>13.9772</v>
      </c>
      <c r="E473" s="32">
        <f>F473</f>
        <v>13.9772</v>
      </c>
      <c r="F473" s="32">
        <f>ROUND(13.9772,4)</f>
        <v>13.9772</v>
      </c>
      <c r="G473" s="28"/>
      <c r="H473" s="42"/>
    </row>
    <row r="474" spans="1:8" ht="12.75" customHeight="1">
      <c r="A474" s="26">
        <v>43812</v>
      </c>
      <c r="B474" s="27"/>
      <c r="C474" s="32">
        <f>ROUND(13.2425,4)</f>
        <v>13.2425</v>
      </c>
      <c r="D474" s="32">
        <f>F474</f>
        <v>14.1402</v>
      </c>
      <c r="E474" s="32">
        <f>F474</f>
        <v>14.1402</v>
      </c>
      <c r="F474" s="32">
        <f>ROUND(14.1402,4)</f>
        <v>14.1402</v>
      </c>
      <c r="G474" s="28"/>
      <c r="H474" s="42"/>
    </row>
    <row r="475" spans="1:8" ht="12.75" customHeight="1">
      <c r="A475" s="26">
        <v>43906</v>
      </c>
      <c r="B475" s="27"/>
      <c r="C475" s="32">
        <f>ROUND(13.2425,4)</f>
        <v>13.2425</v>
      </c>
      <c r="D475" s="32">
        <f>F475</f>
        <v>14.3142</v>
      </c>
      <c r="E475" s="32">
        <f>F475</f>
        <v>14.3142</v>
      </c>
      <c r="F475" s="32">
        <f>ROUND(14.3142,4)</f>
        <v>14.3142</v>
      </c>
      <c r="G475" s="28"/>
      <c r="H475" s="42"/>
    </row>
    <row r="476" spans="1:8" ht="12.75" customHeight="1">
      <c r="A476" s="26">
        <v>43994</v>
      </c>
      <c r="B476" s="27"/>
      <c r="C476" s="32">
        <f>ROUND(13.2425,4)</f>
        <v>13.2425</v>
      </c>
      <c r="D476" s="32">
        <f>F476</f>
        <v>14.4771</v>
      </c>
      <c r="E476" s="32">
        <f>F476</f>
        <v>14.4771</v>
      </c>
      <c r="F476" s="32">
        <f>ROUND(14.4771,4)</f>
        <v>14.4771</v>
      </c>
      <c r="G476" s="28"/>
      <c r="H476" s="42"/>
    </row>
    <row r="477" spans="1:8" ht="12.75" customHeight="1">
      <c r="A477" s="26" t="s">
        <v>84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43360</v>
      </c>
      <c r="B478" s="27"/>
      <c r="C478" s="32">
        <f>ROUND(13.2425,4)</f>
        <v>13.2425</v>
      </c>
      <c r="D478" s="32">
        <f>F478</f>
        <v>13.3468</v>
      </c>
      <c r="E478" s="32">
        <f>F478</f>
        <v>13.3468</v>
      </c>
      <c r="F478" s="32">
        <f>ROUND(13.3468,4)</f>
        <v>13.3468</v>
      </c>
      <c r="G478" s="28"/>
      <c r="H478" s="42"/>
    </row>
    <row r="479" spans="1:8" ht="12.75" customHeight="1">
      <c r="A479" s="26">
        <v>43448</v>
      </c>
      <c r="B479" s="27"/>
      <c r="C479" s="32">
        <f>ROUND(13.2425,4)</f>
        <v>13.2425</v>
      </c>
      <c r="D479" s="32">
        <f>F479</f>
        <v>13.4966</v>
      </c>
      <c r="E479" s="32">
        <f>F479</f>
        <v>13.4966</v>
      </c>
      <c r="F479" s="32">
        <f>ROUND(13.4966,4)</f>
        <v>13.4966</v>
      </c>
      <c r="G479" s="28"/>
      <c r="H479" s="42"/>
    </row>
    <row r="480" spans="1:8" ht="12.75" customHeight="1">
      <c r="A480" s="26">
        <v>43542</v>
      </c>
      <c r="B480" s="27"/>
      <c r="C480" s="32">
        <f>ROUND(13.2425,4)</f>
        <v>13.2425</v>
      </c>
      <c r="D480" s="32">
        <f>F480</f>
        <v>13.6569</v>
      </c>
      <c r="E480" s="32">
        <f>F480</f>
        <v>13.6569</v>
      </c>
      <c r="F480" s="32">
        <f>ROUND(13.6569,4)</f>
        <v>13.6569</v>
      </c>
      <c r="G480" s="28"/>
      <c r="H480" s="42"/>
    </row>
    <row r="481" spans="1:8" ht="12.75" customHeight="1">
      <c r="A481" s="26">
        <v>43630</v>
      </c>
      <c r="B481" s="27"/>
      <c r="C481" s="32">
        <f>ROUND(13.2425,4)</f>
        <v>13.2425</v>
      </c>
      <c r="D481" s="32">
        <f>F481</f>
        <v>13.8077</v>
      </c>
      <c r="E481" s="32">
        <f>F481</f>
        <v>13.8077</v>
      </c>
      <c r="F481" s="32">
        <f>ROUND(13.8077,4)</f>
        <v>13.8077</v>
      </c>
      <c r="G481" s="28"/>
      <c r="H481" s="42"/>
    </row>
    <row r="482" spans="1:8" ht="12.75" customHeight="1">
      <c r="A482" s="26">
        <v>43724</v>
      </c>
      <c r="B482" s="27"/>
      <c r="C482" s="32">
        <f>ROUND(13.2425,4)</f>
        <v>13.2425</v>
      </c>
      <c r="D482" s="32">
        <f>F482</f>
        <v>13.9772</v>
      </c>
      <c r="E482" s="32">
        <f>F482</f>
        <v>13.9772</v>
      </c>
      <c r="F482" s="32">
        <f>ROUND(13.9772,4)</f>
        <v>13.9772</v>
      </c>
      <c r="G482" s="28"/>
      <c r="H482" s="42"/>
    </row>
    <row r="483" spans="1:8" ht="12.75" customHeight="1">
      <c r="A483" s="26">
        <v>43812</v>
      </c>
      <c r="B483" s="27"/>
      <c r="C483" s="32">
        <f>ROUND(13.2425,4)</f>
        <v>13.2425</v>
      </c>
      <c r="D483" s="32">
        <f>F483</f>
        <v>14.1402</v>
      </c>
      <c r="E483" s="32">
        <f>F483</f>
        <v>14.1402</v>
      </c>
      <c r="F483" s="32">
        <f>ROUND(14.1402,4)</f>
        <v>14.1402</v>
      </c>
      <c r="G483" s="28"/>
      <c r="H483" s="42"/>
    </row>
    <row r="484" spans="1:8" ht="12.75" customHeight="1">
      <c r="A484" s="26">
        <v>43906</v>
      </c>
      <c r="B484" s="27"/>
      <c r="C484" s="32">
        <f>ROUND(13.2425,4)</f>
        <v>13.2425</v>
      </c>
      <c r="D484" s="32">
        <f>F484</f>
        <v>14.3142</v>
      </c>
      <c r="E484" s="32">
        <f>F484</f>
        <v>14.3142</v>
      </c>
      <c r="F484" s="32">
        <f>ROUND(14.3142,4)</f>
        <v>14.3142</v>
      </c>
      <c r="G484" s="28"/>
      <c r="H484" s="42"/>
    </row>
    <row r="485" spans="1:8" ht="12.75" customHeight="1">
      <c r="A485" s="26">
        <v>43994</v>
      </c>
      <c r="B485" s="27"/>
      <c r="C485" s="32">
        <f>ROUND(13.2425,4)</f>
        <v>13.2425</v>
      </c>
      <c r="D485" s="32">
        <f>F485</f>
        <v>14.4771</v>
      </c>
      <c r="E485" s="32">
        <f>F485</f>
        <v>14.4771</v>
      </c>
      <c r="F485" s="32">
        <f>ROUND(14.4771,4)</f>
        <v>14.4771</v>
      </c>
      <c r="G485" s="28"/>
      <c r="H485" s="42"/>
    </row>
    <row r="486" spans="1:8" ht="12.75" customHeight="1">
      <c r="A486" s="26">
        <v>44088</v>
      </c>
      <c r="B486" s="27"/>
      <c r="C486" s="32">
        <f>ROUND(13.2425,4)</f>
        <v>13.2425</v>
      </c>
      <c r="D486" s="32">
        <f>F486</f>
        <v>14.6733</v>
      </c>
      <c r="E486" s="32">
        <f>F486</f>
        <v>14.6733</v>
      </c>
      <c r="F486" s="32">
        <f>ROUND(14.6733,4)</f>
        <v>14.6733</v>
      </c>
      <c r="G486" s="28"/>
      <c r="H486" s="42"/>
    </row>
    <row r="487" spans="1:8" ht="12.75" customHeight="1">
      <c r="A487" s="26">
        <v>44179</v>
      </c>
      <c r="B487" s="27"/>
      <c r="C487" s="32">
        <f>ROUND(13.2425,4)</f>
        <v>13.2425</v>
      </c>
      <c r="D487" s="32">
        <f>F487</f>
        <v>14.8778</v>
      </c>
      <c r="E487" s="32">
        <f>F487</f>
        <v>14.8778</v>
      </c>
      <c r="F487" s="32">
        <f>ROUND(14.8778,4)</f>
        <v>14.8778</v>
      </c>
      <c r="G487" s="28"/>
      <c r="H487" s="42"/>
    </row>
    <row r="488" spans="1:8" ht="12.75" customHeight="1">
      <c r="A488" s="26">
        <v>44270</v>
      </c>
      <c r="B488" s="27"/>
      <c r="C488" s="32">
        <f>ROUND(13.2425,4)</f>
        <v>13.2425</v>
      </c>
      <c r="D488" s="32">
        <f>F488</f>
        <v>15.0822</v>
      </c>
      <c r="E488" s="32">
        <f>F488</f>
        <v>15.0822</v>
      </c>
      <c r="F488" s="32">
        <f>ROUND(15.0822,4)</f>
        <v>15.0822</v>
      </c>
      <c r="G488" s="28"/>
      <c r="H488" s="42"/>
    </row>
    <row r="489" spans="1:8" ht="12.75" customHeight="1">
      <c r="A489" s="26">
        <v>44358</v>
      </c>
      <c r="B489" s="27"/>
      <c r="C489" s="32">
        <f>ROUND(13.2425,4)</f>
        <v>13.2425</v>
      </c>
      <c r="D489" s="32">
        <f>F489</f>
        <v>15.2799</v>
      </c>
      <c r="E489" s="32">
        <f>F489</f>
        <v>15.2799</v>
      </c>
      <c r="F489" s="32">
        <f>ROUND(15.2799,4)</f>
        <v>15.2799</v>
      </c>
      <c r="G489" s="28"/>
      <c r="H489" s="42"/>
    </row>
    <row r="490" spans="1:8" ht="12.75" customHeight="1">
      <c r="A490" s="26">
        <v>44452</v>
      </c>
      <c r="B490" s="27"/>
      <c r="C490" s="32">
        <f>ROUND(13.2425,4)</f>
        <v>13.2425</v>
      </c>
      <c r="D490" s="32">
        <f>F490</f>
        <v>15.4911</v>
      </c>
      <c r="E490" s="32">
        <f>F490</f>
        <v>15.4911</v>
      </c>
      <c r="F490" s="32">
        <f>ROUND(15.4911,4)</f>
        <v>15.4911</v>
      </c>
      <c r="G490" s="28"/>
      <c r="H490" s="42"/>
    </row>
    <row r="491" spans="1:8" ht="12.75" customHeight="1">
      <c r="A491" s="26" t="s">
        <v>85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43360</v>
      </c>
      <c r="B492" s="27"/>
      <c r="C492" s="32">
        <f>ROUND(1.32823470411234,4)</f>
        <v>1.3282</v>
      </c>
      <c r="D492" s="32">
        <f>F492</f>
        <v>1.292</v>
      </c>
      <c r="E492" s="32">
        <f>F492</f>
        <v>1.292</v>
      </c>
      <c r="F492" s="32">
        <f>ROUND(1.292,4)</f>
        <v>1.292</v>
      </c>
      <c r="G492" s="28"/>
      <c r="H492" s="42"/>
    </row>
    <row r="493" spans="1:8" ht="12.75" customHeight="1">
      <c r="A493" s="26">
        <v>43448</v>
      </c>
      <c r="B493" s="27"/>
      <c r="C493" s="32">
        <f>ROUND(1.32823470411234,4)</f>
        <v>1.3282</v>
      </c>
      <c r="D493" s="32">
        <f>F493</f>
        <v>1.246</v>
      </c>
      <c r="E493" s="32">
        <f>F493</f>
        <v>1.246</v>
      </c>
      <c r="F493" s="32">
        <f>ROUND(1.246,4)</f>
        <v>1.246</v>
      </c>
      <c r="G493" s="28"/>
      <c r="H493" s="42"/>
    </row>
    <row r="494" spans="1:8" ht="12.75" customHeight="1">
      <c r="A494" s="26">
        <v>43542</v>
      </c>
      <c r="B494" s="27"/>
      <c r="C494" s="32">
        <f>ROUND(1.32823470411234,4)</f>
        <v>1.3282</v>
      </c>
      <c r="D494" s="32">
        <f>F494</f>
        <v>1.2022</v>
      </c>
      <c r="E494" s="32">
        <f>F494</f>
        <v>1.2022</v>
      </c>
      <c r="F494" s="32">
        <f>ROUND(1.2022,4)</f>
        <v>1.2022</v>
      </c>
      <c r="G494" s="28"/>
      <c r="H494" s="42"/>
    </row>
    <row r="495" spans="1:8" ht="12.75" customHeight="1">
      <c r="A495" s="26">
        <v>43630</v>
      </c>
      <c r="B495" s="27"/>
      <c r="C495" s="32">
        <f>ROUND(1.32823470411234,4)</f>
        <v>1.3282</v>
      </c>
      <c r="D495" s="32">
        <f>F495</f>
        <v>1.1658</v>
      </c>
      <c r="E495" s="32">
        <f>F495</f>
        <v>1.1658</v>
      </c>
      <c r="F495" s="32">
        <f>ROUND(1.1658,4)</f>
        <v>1.1658</v>
      </c>
      <c r="G495" s="28"/>
      <c r="H495" s="42"/>
    </row>
    <row r="496" spans="1:8" ht="12.75" customHeight="1">
      <c r="A496" s="26">
        <v>43724</v>
      </c>
      <c r="B496" s="27"/>
      <c r="C496" s="32">
        <f>ROUND(1.32823470411234,4)</f>
        <v>1.3282</v>
      </c>
      <c r="D496" s="32">
        <f>F496</f>
        <v>1.1312</v>
      </c>
      <c r="E496" s="32">
        <f>F496</f>
        <v>1.1312</v>
      </c>
      <c r="F496" s="32">
        <f>ROUND(1.1312,4)</f>
        <v>1.1312</v>
      </c>
      <c r="G496" s="28"/>
      <c r="H496" s="42"/>
    </row>
    <row r="497" spans="1:8" ht="12.75" customHeight="1">
      <c r="A497" s="26">
        <v>43812</v>
      </c>
      <c r="B497" s="27"/>
      <c r="C497" s="32">
        <f>ROUND(1.32823470411234,4)</f>
        <v>1.3282</v>
      </c>
      <c r="D497" s="32">
        <f>F497</f>
        <v>1.1016</v>
      </c>
      <c r="E497" s="32">
        <f>F497</f>
        <v>1.1016</v>
      </c>
      <c r="F497" s="32">
        <f>ROUND(1.1016,4)</f>
        <v>1.1016</v>
      </c>
      <c r="G497" s="28"/>
      <c r="H497" s="42"/>
    </row>
    <row r="498" spans="1:8" ht="12.75" customHeight="1">
      <c r="A498" s="26" t="s">
        <v>86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43314</v>
      </c>
      <c r="B499" s="27"/>
      <c r="C499" s="31">
        <f>ROUND(677.112,3)</f>
        <v>677.112</v>
      </c>
      <c r="D499" s="31">
        <f>F499</f>
        <v>679.338</v>
      </c>
      <c r="E499" s="31">
        <f>F499</f>
        <v>679.338</v>
      </c>
      <c r="F499" s="31">
        <f>ROUND(679.338,3)</f>
        <v>679.338</v>
      </c>
      <c r="G499" s="28"/>
      <c r="H499" s="42"/>
    </row>
    <row r="500" spans="1:8" ht="12.75" customHeight="1">
      <c r="A500" s="26">
        <v>43405</v>
      </c>
      <c r="B500" s="27"/>
      <c r="C500" s="31">
        <f>ROUND(677.112,3)</f>
        <v>677.112</v>
      </c>
      <c r="D500" s="31">
        <f>F500</f>
        <v>691.46</v>
      </c>
      <c r="E500" s="31">
        <f>F500</f>
        <v>691.46</v>
      </c>
      <c r="F500" s="31">
        <f>ROUND(691.46,3)</f>
        <v>691.46</v>
      </c>
      <c r="G500" s="28"/>
      <c r="H500" s="42"/>
    </row>
    <row r="501" spans="1:8" ht="12.75" customHeight="1">
      <c r="A501" s="26">
        <v>43503</v>
      </c>
      <c r="B501" s="27"/>
      <c r="C501" s="31">
        <f>ROUND(677.112,3)</f>
        <v>677.112</v>
      </c>
      <c r="D501" s="31">
        <f>F501</f>
        <v>704.856</v>
      </c>
      <c r="E501" s="31">
        <f>F501</f>
        <v>704.856</v>
      </c>
      <c r="F501" s="31">
        <f>ROUND(704.856,3)</f>
        <v>704.856</v>
      </c>
      <c r="G501" s="28"/>
      <c r="H501" s="42"/>
    </row>
    <row r="502" spans="1:8" ht="12.75" customHeight="1">
      <c r="A502" s="26">
        <v>43587</v>
      </c>
      <c r="B502" s="27"/>
      <c r="C502" s="31">
        <f>ROUND(677.112,3)</f>
        <v>677.112</v>
      </c>
      <c r="D502" s="31">
        <f>F502</f>
        <v>716.707</v>
      </c>
      <c r="E502" s="31">
        <f>F502</f>
        <v>716.707</v>
      </c>
      <c r="F502" s="31">
        <f>ROUND(716.707,3)</f>
        <v>716.707</v>
      </c>
      <c r="G502" s="28"/>
      <c r="H502" s="42"/>
    </row>
    <row r="503" spans="1:8" ht="12.75" customHeight="1">
      <c r="A503" s="26" t="s">
        <v>87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43314</v>
      </c>
      <c r="B504" s="27"/>
      <c r="C504" s="31">
        <f>ROUND(583.855,3)</f>
        <v>583.855</v>
      </c>
      <c r="D504" s="31">
        <f>F504</f>
        <v>585.774</v>
      </c>
      <c r="E504" s="31">
        <f>F504</f>
        <v>585.774</v>
      </c>
      <c r="F504" s="31">
        <f>ROUND(585.774,3)</f>
        <v>585.774</v>
      </c>
      <c r="G504" s="28"/>
      <c r="H504" s="42"/>
    </row>
    <row r="505" spans="1:8" ht="12.75" customHeight="1">
      <c r="A505" s="26">
        <v>43405</v>
      </c>
      <c r="B505" s="27"/>
      <c r="C505" s="31">
        <f>ROUND(583.855,3)</f>
        <v>583.855</v>
      </c>
      <c r="D505" s="31">
        <f>F505</f>
        <v>596.227</v>
      </c>
      <c r="E505" s="31">
        <f>F505</f>
        <v>596.227</v>
      </c>
      <c r="F505" s="31">
        <f>ROUND(596.227,3)</f>
        <v>596.227</v>
      </c>
      <c r="G505" s="28"/>
      <c r="H505" s="42"/>
    </row>
    <row r="506" spans="1:8" ht="12.75" customHeight="1">
      <c r="A506" s="26">
        <v>43503</v>
      </c>
      <c r="B506" s="27"/>
      <c r="C506" s="31">
        <f>ROUND(583.855,3)</f>
        <v>583.855</v>
      </c>
      <c r="D506" s="31">
        <f>F506</f>
        <v>607.778</v>
      </c>
      <c r="E506" s="31">
        <f>F506</f>
        <v>607.778</v>
      </c>
      <c r="F506" s="31">
        <f>ROUND(607.778,3)</f>
        <v>607.778</v>
      </c>
      <c r="G506" s="28"/>
      <c r="H506" s="42"/>
    </row>
    <row r="507" spans="1:8" ht="12.75" customHeight="1">
      <c r="A507" s="26">
        <v>43587</v>
      </c>
      <c r="B507" s="27"/>
      <c r="C507" s="31">
        <f>ROUND(583.855,3)</f>
        <v>583.855</v>
      </c>
      <c r="D507" s="31">
        <f>F507</f>
        <v>617.997</v>
      </c>
      <c r="E507" s="31">
        <f>F507</f>
        <v>617.997</v>
      </c>
      <c r="F507" s="31">
        <f>ROUND(617.997,3)</f>
        <v>617.997</v>
      </c>
      <c r="G507" s="28"/>
      <c r="H507" s="42"/>
    </row>
    <row r="508" spans="1:8" ht="12.75" customHeight="1">
      <c r="A508" s="26" t="s">
        <v>88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43314</v>
      </c>
      <c r="B509" s="27"/>
      <c r="C509" s="31">
        <f>ROUND(681.109,3)</f>
        <v>681.109</v>
      </c>
      <c r="D509" s="31">
        <f>F509</f>
        <v>683.348</v>
      </c>
      <c r="E509" s="31">
        <f>F509</f>
        <v>683.348</v>
      </c>
      <c r="F509" s="31">
        <f>ROUND(683.348,3)</f>
        <v>683.348</v>
      </c>
      <c r="G509" s="28"/>
      <c r="H509" s="42"/>
    </row>
    <row r="510" spans="1:8" ht="12.75" customHeight="1">
      <c r="A510" s="26">
        <v>43405</v>
      </c>
      <c r="B510" s="27"/>
      <c r="C510" s="31">
        <f>ROUND(681.109,3)</f>
        <v>681.109</v>
      </c>
      <c r="D510" s="31">
        <f>F510</f>
        <v>695.542</v>
      </c>
      <c r="E510" s="31">
        <f>F510</f>
        <v>695.542</v>
      </c>
      <c r="F510" s="31">
        <f>ROUND(695.542,3)</f>
        <v>695.542</v>
      </c>
      <c r="G510" s="28"/>
      <c r="H510" s="42"/>
    </row>
    <row r="511" spans="1:8" ht="12.75" customHeight="1">
      <c r="A511" s="26">
        <v>43503</v>
      </c>
      <c r="B511" s="27"/>
      <c r="C511" s="31">
        <f>ROUND(681.109,3)</f>
        <v>681.109</v>
      </c>
      <c r="D511" s="31">
        <f>F511</f>
        <v>709.017</v>
      </c>
      <c r="E511" s="31">
        <f>F511</f>
        <v>709.017</v>
      </c>
      <c r="F511" s="31">
        <f>ROUND(709.017,3)</f>
        <v>709.017</v>
      </c>
      <c r="G511" s="28"/>
      <c r="H511" s="42"/>
    </row>
    <row r="512" spans="1:8" ht="12.75" customHeight="1">
      <c r="A512" s="26">
        <v>43587</v>
      </c>
      <c r="B512" s="27"/>
      <c r="C512" s="31">
        <f>ROUND(681.109,3)</f>
        <v>681.109</v>
      </c>
      <c r="D512" s="31">
        <f>F512</f>
        <v>720.938</v>
      </c>
      <c r="E512" s="31">
        <f>F512</f>
        <v>720.938</v>
      </c>
      <c r="F512" s="31">
        <f>ROUND(720.938,3)</f>
        <v>720.938</v>
      </c>
      <c r="G512" s="28"/>
      <c r="H512" s="42"/>
    </row>
    <row r="513" spans="1:8" ht="12.75" customHeight="1">
      <c r="A513" s="26" t="s">
        <v>89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43314</v>
      </c>
      <c r="B514" s="27"/>
      <c r="C514" s="31">
        <f>ROUND(618.41,3)</f>
        <v>618.41</v>
      </c>
      <c r="D514" s="31">
        <f>F514</f>
        <v>620.443</v>
      </c>
      <c r="E514" s="31">
        <f>F514</f>
        <v>620.443</v>
      </c>
      <c r="F514" s="31">
        <f>ROUND(620.443,3)</f>
        <v>620.443</v>
      </c>
      <c r="G514" s="28"/>
      <c r="H514" s="42"/>
    </row>
    <row r="515" spans="1:8" ht="12.75" customHeight="1">
      <c r="A515" s="26">
        <v>43405</v>
      </c>
      <c r="B515" s="27"/>
      <c r="C515" s="31">
        <f>ROUND(618.41,3)</f>
        <v>618.41</v>
      </c>
      <c r="D515" s="31">
        <f>F515</f>
        <v>631.514</v>
      </c>
      <c r="E515" s="31">
        <f>F515</f>
        <v>631.514</v>
      </c>
      <c r="F515" s="31">
        <f>ROUND(631.514,3)</f>
        <v>631.514</v>
      </c>
      <c r="G515" s="28"/>
      <c r="H515" s="42"/>
    </row>
    <row r="516" spans="1:8" ht="12.75" customHeight="1">
      <c r="A516" s="26">
        <v>43503</v>
      </c>
      <c r="B516" s="27"/>
      <c r="C516" s="31">
        <f>ROUND(618.41,3)</f>
        <v>618.41</v>
      </c>
      <c r="D516" s="31">
        <f>F516</f>
        <v>643.749</v>
      </c>
      <c r="E516" s="31">
        <f>F516</f>
        <v>643.749</v>
      </c>
      <c r="F516" s="31">
        <f>ROUND(643.749,3)</f>
        <v>643.749</v>
      </c>
      <c r="G516" s="28"/>
      <c r="H516" s="42"/>
    </row>
    <row r="517" spans="1:8" ht="12.75" customHeight="1">
      <c r="A517" s="26">
        <v>43587</v>
      </c>
      <c r="B517" s="27"/>
      <c r="C517" s="31">
        <f>ROUND(618.41,3)</f>
        <v>618.41</v>
      </c>
      <c r="D517" s="31">
        <f>F517</f>
        <v>654.573</v>
      </c>
      <c r="E517" s="31">
        <f>F517</f>
        <v>654.573</v>
      </c>
      <c r="F517" s="31">
        <f>ROUND(654.573,3)</f>
        <v>654.573</v>
      </c>
      <c r="G517" s="28"/>
      <c r="H517" s="42"/>
    </row>
    <row r="518" spans="1:8" ht="12.75" customHeight="1">
      <c r="A518" s="26" t="s">
        <v>90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43314</v>
      </c>
      <c r="B519" s="27"/>
      <c r="C519" s="31">
        <f>ROUND(248.635055809045,3)</f>
        <v>248.635</v>
      </c>
      <c r="D519" s="31">
        <f>F519</f>
        <v>249.463</v>
      </c>
      <c r="E519" s="31">
        <f>F519</f>
        <v>249.463</v>
      </c>
      <c r="F519" s="31">
        <f>ROUND(249.463,3)</f>
        <v>249.463</v>
      </c>
      <c r="G519" s="28"/>
      <c r="H519" s="42"/>
    </row>
    <row r="520" spans="1:8" ht="12.75" customHeight="1">
      <c r="A520" s="26">
        <v>43405</v>
      </c>
      <c r="B520" s="27"/>
      <c r="C520" s="31">
        <f>ROUND(248.635055809045,3)</f>
        <v>248.635</v>
      </c>
      <c r="D520" s="31">
        <f>F520</f>
        <v>253.974</v>
      </c>
      <c r="E520" s="31">
        <f>F520</f>
        <v>253.974</v>
      </c>
      <c r="F520" s="31">
        <f>ROUND(253.974,3)</f>
        <v>253.974</v>
      </c>
      <c r="G520" s="28"/>
      <c r="H520" s="42"/>
    </row>
    <row r="521" spans="1:8" ht="12.75" customHeight="1">
      <c r="A521" s="26">
        <v>43503</v>
      </c>
      <c r="B521" s="27"/>
      <c r="C521" s="31">
        <f>ROUND(248.635055809045,3)</f>
        <v>248.635</v>
      </c>
      <c r="D521" s="31">
        <f>F521</f>
        <v>258.94</v>
      </c>
      <c r="E521" s="31">
        <f>F521</f>
        <v>258.94</v>
      </c>
      <c r="F521" s="31">
        <f>ROUND(258.94,3)</f>
        <v>258.94</v>
      </c>
      <c r="G521" s="28"/>
      <c r="H521" s="42"/>
    </row>
    <row r="522" spans="1:8" ht="12.75" customHeight="1">
      <c r="A522" s="26">
        <v>43587</v>
      </c>
      <c r="B522" s="27"/>
      <c r="C522" s="31">
        <f>ROUND(248.635055809045,3)</f>
        <v>248.635</v>
      </c>
      <c r="D522" s="31">
        <f>F522</f>
        <v>263.339</v>
      </c>
      <c r="E522" s="31">
        <f>F522</f>
        <v>263.339</v>
      </c>
      <c r="F522" s="31">
        <f>ROUND(263.339,3)</f>
        <v>263.339</v>
      </c>
      <c r="G522" s="28"/>
      <c r="H522" s="42"/>
    </row>
    <row r="523" spans="1:8" ht="12.75" customHeight="1">
      <c r="A523" s="26" t="s">
        <v>91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43360</v>
      </c>
      <c r="B524" s="27"/>
      <c r="C524" s="28">
        <f>ROUND(23288.762565207,2)</f>
        <v>23288.76</v>
      </c>
      <c r="D524" s="28">
        <f>F524</f>
        <v>23546.35</v>
      </c>
      <c r="E524" s="28">
        <f>F524</f>
        <v>23546.35</v>
      </c>
      <c r="F524" s="28">
        <f>ROUND(23546.35,2)</f>
        <v>23546.35</v>
      </c>
      <c r="G524" s="28"/>
      <c r="H524" s="42"/>
    </row>
    <row r="525" spans="1:8" ht="12.75" customHeight="1">
      <c r="A525" s="26">
        <v>43448</v>
      </c>
      <c r="B525" s="27"/>
      <c r="C525" s="28">
        <f>ROUND(23288.762565207,2)</f>
        <v>23288.76</v>
      </c>
      <c r="D525" s="28">
        <f>F525</f>
        <v>23895.76</v>
      </c>
      <c r="E525" s="28">
        <f>F525</f>
        <v>23895.76</v>
      </c>
      <c r="F525" s="28">
        <f>ROUND(23895.76,2)</f>
        <v>23895.76</v>
      </c>
      <c r="G525" s="28"/>
      <c r="H525" s="42"/>
    </row>
    <row r="526" spans="1:8" ht="12.75" customHeight="1">
      <c r="A526" s="26">
        <v>43542</v>
      </c>
      <c r="B526" s="27"/>
      <c r="C526" s="28">
        <f>ROUND(23288.762565207,2)</f>
        <v>23288.76</v>
      </c>
      <c r="D526" s="28">
        <f>F526</f>
        <v>24285.59</v>
      </c>
      <c r="E526" s="28">
        <f>F526</f>
        <v>24285.59</v>
      </c>
      <c r="F526" s="28">
        <f>ROUND(24285.59,2)</f>
        <v>24285.59</v>
      </c>
      <c r="G526" s="28"/>
      <c r="H526" s="42"/>
    </row>
    <row r="527" spans="1:8" ht="12.75" customHeight="1">
      <c r="A527" s="26" t="s">
        <v>92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43299</v>
      </c>
      <c r="B528" s="27"/>
      <c r="C528" s="31">
        <f>ROUND(6.958,3)</f>
        <v>6.958</v>
      </c>
      <c r="D528" s="31">
        <f>ROUND(7.19,3)</f>
        <v>7.19</v>
      </c>
      <c r="E528" s="31">
        <f>ROUND(7.09,3)</f>
        <v>7.09</v>
      </c>
      <c r="F528" s="31">
        <f>ROUND(7.14,3)</f>
        <v>7.14</v>
      </c>
      <c r="G528" s="28"/>
      <c r="H528" s="42"/>
    </row>
    <row r="529" spans="1:8" ht="12.75" customHeight="1">
      <c r="A529" s="26">
        <v>43362</v>
      </c>
      <c r="B529" s="27"/>
      <c r="C529" s="31">
        <f>ROUND(6.958,3)</f>
        <v>6.958</v>
      </c>
      <c r="D529" s="31">
        <f>ROUND(7.12,3)</f>
        <v>7.12</v>
      </c>
      <c r="E529" s="31">
        <f>ROUND(7.02,3)</f>
        <v>7.02</v>
      </c>
      <c r="F529" s="31">
        <f>ROUND(7.07,3)</f>
        <v>7.07</v>
      </c>
      <c r="G529" s="28"/>
      <c r="H529" s="42"/>
    </row>
    <row r="530" spans="1:8" ht="12.75" customHeight="1">
      <c r="A530" s="26">
        <v>43453</v>
      </c>
      <c r="B530" s="27"/>
      <c r="C530" s="31">
        <f>ROUND(6.958,3)</f>
        <v>6.958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8"/>
      <c r="H530" s="42"/>
    </row>
    <row r="531" spans="1:8" ht="12.75" customHeight="1">
      <c r="A531" s="26">
        <v>43544</v>
      </c>
      <c r="B531" s="27"/>
      <c r="C531" s="31">
        <f>ROUND(6.958,3)</f>
        <v>6.958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8"/>
      <c r="H531" s="42"/>
    </row>
    <row r="532" spans="1:8" ht="12.75" customHeight="1">
      <c r="A532" s="26">
        <v>43635</v>
      </c>
      <c r="B532" s="27"/>
      <c r="C532" s="31">
        <f>ROUND(6.958,3)</f>
        <v>6.958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8"/>
      <c r="H532" s="42"/>
    </row>
    <row r="533" spans="1:8" ht="12.75" customHeight="1">
      <c r="A533" s="26">
        <v>43726</v>
      </c>
      <c r="B533" s="27"/>
      <c r="C533" s="31">
        <f>ROUND(6.958,3)</f>
        <v>6.958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8"/>
      <c r="H533" s="42"/>
    </row>
    <row r="534" spans="1:8" ht="12.75" customHeight="1">
      <c r="A534" s="26">
        <v>43817</v>
      </c>
      <c r="B534" s="27"/>
      <c r="C534" s="31">
        <f>ROUND(6.958,3)</f>
        <v>6.958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8"/>
      <c r="H534" s="42"/>
    </row>
    <row r="535" spans="1:8" ht="12.75" customHeight="1">
      <c r="A535" s="26" t="s">
        <v>93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43314</v>
      </c>
      <c r="B536" s="27"/>
      <c r="C536" s="31">
        <f>ROUND(614.066,3)</f>
        <v>614.066</v>
      </c>
      <c r="D536" s="31">
        <f>F536</f>
        <v>616.085</v>
      </c>
      <c r="E536" s="31">
        <f>F536</f>
        <v>616.085</v>
      </c>
      <c r="F536" s="31">
        <f>ROUND(616.085,3)</f>
        <v>616.085</v>
      </c>
      <c r="G536" s="28"/>
      <c r="H536" s="42"/>
    </row>
    <row r="537" spans="1:8" ht="12.75" customHeight="1">
      <c r="A537" s="26">
        <v>43405</v>
      </c>
      <c r="B537" s="27"/>
      <c r="C537" s="31">
        <f>ROUND(614.066,3)</f>
        <v>614.066</v>
      </c>
      <c r="D537" s="31">
        <f>F537</f>
        <v>627.078</v>
      </c>
      <c r="E537" s="31">
        <f>F537</f>
        <v>627.078</v>
      </c>
      <c r="F537" s="31">
        <f>ROUND(627.078,3)</f>
        <v>627.078</v>
      </c>
      <c r="G537" s="28"/>
      <c r="H537" s="42"/>
    </row>
    <row r="538" spans="1:8" ht="12.75" customHeight="1">
      <c r="A538" s="26">
        <v>43503</v>
      </c>
      <c r="B538" s="27"/>
      <c r="C538" s="31">
        <f>ROUND(614.066,3)</f>
        <v>614.066</v>
      </c>
      <c r="D538" s="31">
        <f>F538</f>
        <v>639.227</v>
      </c>
      <c r="E538" s="31">
        <f>F538</f>
        <v>639.227</v>
      </c>
      <c r="F538" s="31">
        <f>ROUND(639.227,3)</f>
        <v>639.227</v>
      </c>
      <c r="G538" s="28"/>
      <c r="H538" s="42"/>
    </row>
    <row r="539" spans="1:8" ht="12.75" customHeight="1">
      <c r="A539" s="26">
        <v>43587</v>
      </c>
      <c r="B539" s="27"/>
      <c r="C539" s="31">
        <f>ROUND(614.066,3)</f>
        <v>614.066</v>
      </c>
      <c r="D539" s="31">
        <f>F539</f>
        <v>649.975</v>
      </c>
      <c r="E539" s="31">
        <f>F539</f>
        <v>649.975</v>
      </c>
      <c r="F539" s="31">
        <f>ROUND(649.975,3)</f>
        <v>649.975</v>
      </c>
      <c r="G539" s="28"/>
      <c r="H539" s="42"/>
    </row>
    <row r="540" spans="1:8" ht="12.75" customHeight="1">
      <c r="A540" s="26" t="s">
        <v>12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43546</v>
      </c>
      <c r="B541" s="27"/>
      <c r="C541" s="28">
        <f>ROUND(99.9334344404094,2)</f>
        <v>99.93</v>
      </c>
      <c r="D541" s="28">
        <f>F541</f>
        <v>99.57</v>
      </c>
      <c r="E541" s="28">
        <f>F541</f>
        <v>99.57</v>
      </c>
      <c r="F541" s="28">
        <f>ROUND(99.5740728524748,2)</f>
        <v>99.57</v>
      </c>
      <c r="G541" s="28"/>
      <c r="H541" s="42"/>
    </row>
    <row r="542" spans="1:8" ht="12.75" customHeight="1">
      <c r="A542" s="26" t="s">
        <v>13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43913</v>
      </c>
      <c r="B543" s="27"/>
      <c r="C543" s="28">
        <f>ROUND(99.7202929191321,2)</f>
        <v>99.72</v>
      </c>
      <c r="D543" s="28">
        <f>F543</f>
        <v>99.02</v>
      </c>
      <c r="E543" s="28">
        <f>F543</f>
        <v>99.02</v>
      </c>
      <c r="F543" s="28">
        <f>ROUND(99.0198028128975,2)</f>
        <v>99.02</v>
      </c>
      <c r="G543" s="28"/>
      <c r="H543" s="42"/>
    </row>
    <row r="544" spans="1:8" ht="12.75" customHeight="1">
      <c r="A544" s="26" t="s">
        <v>14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45007</v>
      </c>
      <c r="B545" s="27"/>
      <c r="C545" s="28">
        <f>ROUND(99.0598999233354,2)</f>
        <v>99.06</v>
      </c>
      <c r="D545" s="28">
        <f>F545</f>
        <v>97.48</v>
      </c>
      <c r="E545" s="28">
        <f>F545</f>
        <v>97.48</v>
      </c>
      <c r="F545" s="28">
        <f>ROUND(97.4752762189126,2)</f>
        <v>97.48</v>
      </c>
      <c r="G545" s="28"/>
      <c r="H545" s="42"/>
    </row>
    <row r="546" spans="1:8" ht="12.75" customHeight="1">
      <c r="A546" s="26" t="s">
        <v>15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46834</v>
      </c>
      <c r="B547" s="27"/>
      <c r="C547" s="28">
        <f>ROUND(98.1787615637574,2)</f>
        <v>98.18</v>
      </c>
      <c r="D547" s="28">
        <f>F547</f>
        <v>97.46</v>
      </c>
      <c r="E547" s="28">
        <f>F547</f>
        <v>97.46</v>
      </c>
      <c r="F547" s="28">
        <f>ROUND(97.455335286709,2)</f>
        <v>97.46</v>
      </c>
      <c r="G547" s="28"/>
      <c r="H547" s="42"/>
    </row>
    <row r="548" spans="1:8" ht="12.75" customHeight="1">
      <c r="A548" s="26" t="s">
        <v>94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43363</v>
      </c>
      <c r="B549" s="27"/>
      <c r="C549" s="30">
        <f>ROUND(99.9334344404094,5)</f>
        <v>99.93343</v>
      </c>
      <c r="D549" s="30">
        <f>F549</f>
        <v>101.76092</v>
      </c>
      <c r="E549" s="30">
        <f>F549</f>
        <v>101.76092</v>
      </c>
      <c r="F549" s="30">
        <f>ROUND(101.760916032255,5)</f>
        <v>101.76092</v>
      </c>
      <c r="G549" s="28"/>
      <c r="H549" s="42"/>
    </row>
    <row r="550" spans="1:8" ht="12.75" customHeight="1">
      <c r="A550" s="26" t="s">
        <v>95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43636</v>
      </c>
      <c r="B551" s="27"/>
      <c r="C551" s="28">
        <f>ROUND(99.9334344404094,2)</f>
        <v>99.93</v>
      </c>
      <c r="D551" s="28">
        <f>F551</f>
        <v>102.01</v>
      </c>
      <c r="E551" s="28">
        <f>F551</f>
        <v>102.01</v>
      </c>
      <c r="F551" s="28">
        <f>ROUND(102.011390245193,2)</f>
        <v>102.01</v>
      </c>
      <c r="G551" s="28"/>
      <c r="H551" s="42"/>
    </row>
    <row r="552" spans="1:8" ht="12.75" customHeight="1">
      <c r="A552" s="26" t="s">
        <v>96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43727</v>
      </c>
      <c r="B553" s="27"/>
      <c r="C553" s="28">
        <f>ROUND(99.9334344404094,2)</f>
        <v>99.93</v>
      </c>
      <c r="D553" s="28">
        <f>F553</f>
        <v>99.93</v>
      </c>
      <c r="E553" s="28">
        <f>F553</f>
        <v>99.93</v>
      </c>
      <c r="F553" s="28">
        <f>ROUND(99.9334344404094,2)</f>
        <v>99.93</v>
      </c>
      <c r="G553" s="28"/>
      <c r="H553" s="42"/>
    </row>
    <row r="554" spans="1:8" ht="12.75" customHeight="1">
      <c r="A554" s="26" t="s">
        <v>97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43364</v>
      </c>
      <c r="B555" s="27"/>
      <c r="C555" s="30">
        <f>ROUND(99.7202929191321,5)</f>
        <v>99.72029</v>
      </c>
      <c r="D555" s="30">
        <f>F555</f>
        <v>98.51675</v>
      </c>
      <c r="E555" s="30">
        <f>F555</f>
        <v>98.51675</v>
      </c>
      <c r="F555" s="30">
        <f>ROUND(98.5167501774546,5)</f>
        <v>98.51675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43455</v>
      </c>
      <c r="B557" s="27"/>
      <c r="C557" s="28">
        <f>ROUND(99.7202929191321,2)</f>
        <v>99.72</v>
      </c>
      <c r="D557" s="28">
        <f>F557</f>
        <v>98.9</v>
      </c>
      <c r="E557" s="28">
        <f>F557</f>
        <v>98.9</v>
      </c>
      <c r="F557" s="28">
        <f>ROUND(98.8966774909362,2)</f>
        <v>98.9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43539</v>
      </c>
      <c r="B559" s="27"/>
      <c r="C559" s="30">
        <f>ROUND(99.7202929191321,5)</f>
        <v>99.72029</v>
      </c>
      <c r="D559" s="30">
        <f>F559</f>
        <v>99.31089</v>
      </c>
      <c r="E559" s="30">
        <f>F559</f>
        <v>99.31089</v>
      </c>
      <c r="F559" s="30">
        <f>ROUND(99.3108885760275,5)</f>
        <v>99.31089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43637</v>
      </c>
      <c r="B561" s="27"/>
      <c r="C561" s="30">
        <f>ROUND(99.7202929191321,5)</f>
        <v>99.72029</v>
      </c>
      <c r="D561" s="30">
        <f>F561</f>
        <v>99.75156</v>
      </c>
      <c r="E561" s="30">
        <f>F561</f>
        <v>99.75156</v>
      </c>
      <c r="F561" s="30">
        <f>ROUND(99.7515583273863,5)</f>
        <v>99.75156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43728</v>
      </c>
      <c r="B563" s="27"/>
      <c r="C563" s="30">
        <f>ROUND(99.7202929191321,5)</f>
        <v>99.72029</v>
      </c>
      <c r="D563" s="30">
        <f>F563</f>
        <v>101.93205</v>
      </c>
      <c r="E563" s="30">
        <f>F563</f>
        <v>101.93205</v>
      </c>
      <c r="F563" s="30">
        <f>ROUND(101.932053445546,5)</f>
        <v>101.93205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44004</v>
      </c>
      <c r="B565" s="27"/>
      <c r="C565" s="28">
        <f>ROUND(99.7202929191321,2)</f>
        <v>99.72</v>
      </c>
      <c r="D565" s="28">
        <f>F565</f>
        <v>102.65</v>
      </c>
      <c r="E565" s="28">
        <f>F565</f>
        <v>102.65</v>
      </c>
      <c r="F565" s="28">
        <f>ROUND(102.648066980775,2)</f>
        <v>102.65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44095</v>
      </c>
      <c r="B567" s="27"/>
      <c r="C567" s="28">
        <f>ROUND(99.7202929191321,2)</f>
        <v>99.72</v>
      </c>
      <c r="D567" s="28">
        <f>F567</f>
        <v>99.72</v>
      </c>
      <c r="E567" s="28">
        <f>F567</f>
        <v>99.72</v>
      </c>
      <c r="F567" s="28">
        <f>ROUND(99.7202929191321,2)</f>
        <v>99.72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44182</v>
      </c>
      <c r="B569" s="27"/>
      <c r="C569" s="30">
        <f>ROUND(99.0598999233354,5)</f>
        <v>99.0599</v>
      </c>
      <c r="D569" s="30">
        <f>F569</f>
        <v>96.59283</v>
      </c>
      <c r="E569" s="30">
        <f>F569</f>
        <v>96.59283</v>
      </c>
      <c r="F569" s="30">
        <f>ROUND(96.5928349920933,5)</f>
        <v>96.59283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44271</v>
      </c>
      <c r="B571" s="27"/>
      <c r="C571" s="30">
        <f>ROUND(99.0598999233354,5)</f>
        <v>99.0599</v>
      </c>
      <c r="D571" s="30">
        <f>F571</f>
        <v>95.84077</v>
      </c>
      <c r="E571" s="30">
        <f>F571</f>
        <v>95.84077</v>
      </c>
      <c r="F571" s="30">
        <f>ROUND(95.8407684307353,5)</f>
        <v>95.84077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44362</v>
      </c>
      <c r="B573" s="27"/>
      <c r="C573" s="30">
        <f>ROUND(99.0598999233354,5)</f>
        <v>99.0599</v>
      </c>
      <c r="D573" s="30">
        <f>F573</f>
        <v>95.05516</v>
      </c>
      <c r="E573" s="30">
        <f>F573</f>
        <v>95.05516</v>
      </c>
      <c r="F573" s="30">
        <f>ROUND(95.0551553945796,5)</f>
        <v>95.05516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44460</v>
      </c>
      <c r="B575" s="27"/>
      <c r="C575" s="30">
        <f>ROUND(99.0598999233354,5)</f>
        <v>99.0599</v>
      </c>
      <c r="D575" s="30">
        <f>F575</f>
        <v>95.25657</v>
      </c>
      <c r="E575" s="30">
        <f>F575</f>
        <v>95.25657</v>
      </c>
      <c r="F575" s="30">
        <f>ROUND(95.2565676146913,5)</f>
        <v>95.25657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44551</v>
      </c>
      <c r="B577" s="27"/>
      <c r="C577" s="30">
        <f>ROUND(99.0598999233354,5)</f>
        <v>99.0599</v>
      </c>
      <c r="D577" s="30">
        <f>F577</f>
        <v>97.46696</v>
      </c>
      <c r="E577" s="30">
        <f>F577</f>
        <v>97.46696</v>
      </c>
      <c r="F577" s="30">
        <f>ROUND(97.4669614869299,5)</f>
        <v>97.46696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44635</v>
      </c>
      <c r="B579" s="27"/>
      <c r="C579" s="30">
        <f>ROUND(99.0598999233354,5)</f>
        <v>99.0599</v>
      </c>
      <c r="D579" s="30">
        <f>F579</f>
        <v>97.61267</v>
      </c>
      <c r="E579" s="30">
        <f>F579</f>
        <v>97.61267</v>
      </c>
      <c r="F579" s="30">
        <f>ROUND(97.6126690231705,5)</f>
        <v>97.61267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44733</v>
      </c>
      <c r="B581" s="27"/>
      <c r="C581" s="30">
        <f>ROUND(99.0598999233354,5)</f>
        <v>99.0599</v>
      </c>
      <c r="D581" s="30">
        <f>F581</f>
        <v>98.83153</v>
      </c>
      <c r="E581" s="30">
        <f>F581</f>
        <v>98.83153</v>
      </c>
      <c r="F581" s="30">
        <f>ROUND(98.8315314496372,5)</f>
        <v>98.83153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44824</v>
      </c>
      <c r="B583" s="27"/>
      <c r="C583" s="30">
        <f>ROUND(99.0598999233354,5)</f>
        <v>99.0599</v>
      </c>
      <c r="D583" s="30">
        <f>F583</f>
        <v>102.76355</v>
      </c>
      <c r="E583" s="30">
        <f>F583</f>
        <v>102.76355</v>
      </c>
      <c r="F583" s="30">
        <f>ROUND(102.763552881447,5)</f>
        <v>102.76355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45097</v>
      </c>
      <c r="B585" s="27"/>
      <c r="C585" s="28">
        <f>ROUND(99.0598999233354,2)</f>
        <v>99.06</v>
      </c>
      <c r="D585" s="28">
        <f>F585</f>
        <v>103.52</v>
      </c>
      <c r="E585" s="28">
        <f>F585</f>
        <v>103.52</v>
      </c>
      <c r="F585" s="28">
        <f>ROUND(103.51676688016,2)</f>
        <v>103.52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45188</v>
      </c>
      <c r="B587" s="27"/>
      <c r="C587" s="28">
        <f>ROUND(99.0598999233354,2)</f>
        <v>99.06</v>
      </c>
      <c r="D587" s="28">
        <f>F587</f>
        <v>99.06</v>
      </c>
      <c r="E587" s="28">
        <f>F587</f>
        <v>99.06</v>
      </c>
      <c r="F587" s="28">
        <f>ROUND(99.0598999233354,2)</f>
        <v>99.06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46008</v>
      </c>
      <c r="B589" s="27"/>
      <c r="C589" s="30">
        <f>ROUND(98.1787615637574,5)</f>
        <v>98.17876</v>
      </c>
      <c r="D589" s="30">
        <f>F589</f>
        <v>95.84741</v>
      </c>
      <c r="E589" s="30">
        <f>F589</f>
        <v>95.84741</v>
      </c>
      <c r="F589" s="30">
        <f>ROUND(95.847406485241,5)</f>
        <v>95.84741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46097</v>
      </c>
      <c r="B591" s="27"/>
      <c r="C591" s="30">
        <f>ROUND(98.1787615637574,5)</f>
        <v>98.17876</v>
      </c>
      <c r="D591" s="30">
        <f>F591</f>
        <v>92.85681</v>
      </c>
      <c r="E591" s="30">
        <f>F591</f>
        <v>92.85681</v>
      </c>
      <c r="F591" s="30">
        <f>ROUND(92.8568082883776,5)</f>
        <v>92.85681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46188</v>
      </c>
      <c r="B593" s="27"/>
      <c r="C593" s="30">
        <f>ROUND(98.1787615637574,5)</f>
        <v>98.17876</v>
      </c>
      <c r="D593" s="30">
        <f>F593</f>
        <v>91.60162</v>
      </c>
      <c r="E593" s="30">
        <f>F593</f>
        <v>91.60162</v>
      </c>
      <c r="F593" s="30">
        <f>ROUND(91.6016226168835,5)</f>
        <v>91.60162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46286</v>
      </c>
      <c r="B595" s="27"/>
      <c r="C595" s="30">
        <f>ROUND(98.1787615637574,5)</f>
        <v>98.17876</v>
      </c>
      <c r="D595" s="30">
        <f>F595</f>
        <v>93.7572</v>
      </c>
      <c r="E595" s="30">
        <f>F595</f>
        <v>93.7572</v>
      </c>
      <c r="F595" s="30">
        <f>ROUND(93.7572046403893,5)</f>
        <v>93.7572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46377</v>
      </c>
      <c r="B597" s="27"/>
      <c r="C597" s="30">
        <f>ROUND(98.1787615637574,5)</f>
        <v>98.17876</v>
      </c>
      <c r="D597" s="30">
        <f>F597</f>
        <v>97.52644</v>
      </c>
      <c r="E597" s="30">
        <f>F597</f>
        <v>97.52644</v>
      </c>
      <c r="F597" s="30">
        <f>ROUND(97.5264394633499,5)</f>
        <v>97.52644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46461</v>
      </c>
      <c r="B599" s="27"/>
      <c r="C599" s="30">
        <f>ROUND(98.1787615637574,5)</f>
        <v>98.17876</v>
      </c>
      <c r="D599" s="30">
        <f>F599</f>
        <v>96.09923</v>
      </c>
      <c r="E599" s="30">
        <f>F599</f>
        <v>96.09923</v>
      </c>
      <c r="F599" s="30">
        <f>ROUND(96.0992272877199,5)</f>
        <v>96.09923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46559</v>
      </c>
      <c r="B601" s="27"/>
      <c r="C601" s="30">
        <f>ROUND(98.1787615637574,5)</f>
        <v>98.17876</v>
      </c>
      <c r="D601" s="30">
        <f>F601</f>
        <v>98.16414</v>
      </c>
      <c r="E601" s="30">
        <f>F601</f>
        <v>98.16414</v>
      </c>
      <c r="F601" s="30">
        <f>ROUND(98.1641365386024,5)</f>
        <v>98.16414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46650</v>
      </c>
      <c r="B603" s="27"/>
      <c r="C603" s="30">
        <f>ROUND(98.1787615637574,5)</f>
        <v>98.17876</v>
      </c>
      <c r="D603" s="30">
        <f>F603</f>
        <v>103.57113</v>
      </c>
      <c r="E603" s="30">
        <f>F603</f>
        <v>103.57113</v>
      </c>
      <c r="F603" s="30">
        <f>ROUND(103.571131338723,5)</f>
        <v>103.57113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46924</v>
      </c>
      <c r="B605" s="27"/>
      <c r="C605" s="28">
        <f>ROUND(98.1787615637574,2)</f>
        <v>98.18</v>
      </c>
      <c r="D605" s="28">
        <f>F605</f>
        <v>104.57</v>
      </c>
      <c r="E605" s="28">
        <f>F605</f>
        <v>104.57</v>
      </c>
      <c r="F605" s="28">
        <f>ROUND(104.573239561501,2)</f>
        <v>104.57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 thickBot="1">
      <c r="A607" s="38">
        <v>47015</v>
      </c>
      <c r="B607" s="39"/>
      <c r="C607" s="40">
        <f>ROUND(98.1787615637574,2)</f>
        <v>98.18</v>
      </c>
      <c r="D607" s="40">
        <f>F607</f>
        <v>98.18</v>
      </c>
      <c r="E607" s="40">
        <f>F607</f>
        <v>98.18</v>
      </c>
      <c r="F607" s="40">
        <f>ROUND(98.1787615637574,2)</f>
        <v>98.18</v>
      </c>
      <c r="G607" s="40"/>
      <c r="H607" s="43"/>
    </row>
  </sheetData>
  <sheetProtection/>
  <mergeCells count="606">
    <mergeCell ref="A604:B604"/>
    <mergeCell ref="A605:B605"/>
    <mergeCell ref="A606:B606"/>
    <mergeCell ref="A607:B607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31:B331"/>
    <mergeCell ref="A332:B332"/>
    <mergeCell ref="A333:B333"/>
    <mergeCell ref="A326:B326"/>
    <mergeCell ref="A327:B327"/>
    <mergeCell ref="A328:B328"/>
    <mergeCell ref="A329:B329"/>
    <mergeCell ref="A330:B330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2018-07-16T16:14:00Z</dcterms:modified>
  <cp:category/>
  <cp:version/>
  <cp:contentType/>
  <cp:contentStatus/>
</cp:coreProperties>
</file>