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'Jerry'!$A$1:$H$377</definedName>
  </definedNames>
  <calcPr fullCalcOnLoad="1"/>
</workbook>
</file>

<file path=xl/sharedStrings.xml><?xml version="1.0" encoding="utf-8"?>
<sst xmlns="http://schemas.openxmlformats.org/spreadsheetml/2006/main" count="93" uniqueCount="93">
  <si>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</si>
  <si>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</si>
  <si>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</si>
  <si>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</si>
  <si>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</si>
  <si>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</si>
  <si>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</si>
  <si>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</si>
  <si>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</si>
  <si>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</si>
  <si>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</si>
  <si>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</si>
  <si>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</si>
  <si>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</si>
  <si>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</si>
  <si>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</si>
  <si>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</si>
  <si>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</si>
  <si>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R157 SPOT Bond (R157)</t>
  </si>
  <si>
    <t>R186 SPOT Bond (R186)</t>
  </si>
  <si>
    <t>R197 SPOT Bond (R197)</t>
  </si>
  <si>
    <t>R201 SPOT Bond (R201)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</si>
  <si>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</si>
  <si>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</si>
  <si>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</si>
  <si>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</si>
  <si>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</si>
  <si>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</si>
  <si>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</si>
  <si>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</si>
  <si>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</si>
  <si>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</si>
  <si>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</si>
  <si>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</si>
  <si>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</si>
  <si>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R2037 Bond Future (2037)</t>
  </si>
  <si>
    <t>2038 Bond Future (2038)</t>
  </si>
  <si>
    <t>R 2044 Bond Future (2044)</t>
  </si>
  <si>
    <t>2046 Bond Future (2046)</t>
  </si>
  <si>
    <t>2050 Bond Future (2050)</t>
  </si>
  <si>
    <t>EL28 Bond Future (EL28)</t>
  </si>
  <si>
    <t>ES33 FUTURE  (ES33)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</si>
  <si>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</si>
  <si>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</si>
  <si>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</si>
  <si>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</si>
  <si>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</si>
  <si>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</si>
  <si>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</si>
  <si>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</si>
  <si>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</si>
  <si>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</si>
  <si>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</si>
  <si>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</si>
  <si>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</si>
  <si>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</si>
  <si>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</si>
  <si>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</si>
  <si>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Currency Cando CAFC (CAFC)</t>
  </si>
  <si>
    <t>Currency Cando CAFD (CAFD)</t>
  </si>
  <si>
    <t>Currency Cando CAFÉ (CAFE)</t>
  </si>
  <si>
    <t>Currency Cando CAFH (CAFH)</t>
  </si>
  <si>
    <t>Currency Cando CAFJ (CAFJ)</t>
  </si>
  <si>
    <t>Currency Cando CAFK (CAFK)</t>
  </si>
  <si>
    <t>Currency Cando CAFY (CAFY)</t>
  </si>
  <si>
    <t>Currency Cando CAGA (CAGA)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</si>
  <si>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</si>
  <si>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</si>
  <si>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</si>
  <si>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</si>
  <si>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</si>
  <si>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Rand / Can Dollar  (ZACA)</t>
  </si>
  <si>
    <t>Rand / Chinese Renminbi (ZACR)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</si>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</sst>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2" fontId="6" fillId="0" borderId="16" xfId="0" applyNumberFormat="1" applyFont="1" applyFill="1" applyBorder="1" applyAlignment="1" applyProtection="1">
      <alignment horizontal="center"/>
      <protection locked="0"/>
    </xf>
    <xf numFmtId="197" fontId="6" fillId="0" borderId="16" xfId="0" applyNumberFormat="1" applyFont="1" applyFill="1" applyBorder="1" applyAlignment="1" applyProtection="1">
      <alignment horizontal="center"/>
      <protection locked="0"/>
    </xf>
    <xf numFmtId="193" fontId="6" fillId="0" borderId="16" xfId="0" applyNumberFormat="1" applyFont="1" applyFill="1" applyBorder="1" applyAlignment="1" applyProtection="1">
      <alignment horizontal="center"/>
      <protection locked="0"/>
    </xf>
    <xf numFmtId="194" fontId="6" fillId="0" borderId="16" xfId="0" applyNumberFormat="1" applyFont="1" applyFill="1" applyBorder="1" applyAlignment="1" applyProtection="1">
      <alignment horizontal="center"/>
      <protection locked="0"/>
    </xf>
    <xf numFmtId="199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193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16" xfId="0" applyNumberFormat="1" applyFont="1" applyFill="1" applyBorder="1" applyAlignment="1" applyProtection="1">
      <alignment horizontal="center"/>
      <protection locked="0"/>
    </xf>
    <xf numFmtId="201" fontId="6" fillId="0" borderId="18" xfId="0" applyNumberFormat="1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201" fontId="8" fillId="0" borderId="24" xfId="0" applyNumberFormat="1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/>
      <protection locked="0"/>
    </xf>
    <xf numFmtId="201" fontId="6" fillId="0" borderId="17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35">
        <v>41949</v>
      </c>
      <c r="H1" s="35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36">
        <v>3</v>
      </c>
      <c r="H2" s="36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33" t="s">
        <v>2</v>
      </c>
      <c r="B4" s="34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37" t="s">
        <v>12</v>
      </c>
      <c r="B5" s="37"/>
      <c r="C5" s="24"/>
      <c r="D5" s="24"/>
      <c r="E5" s="24"/>
      <c r="F5" s="24"/>
      <c r="G5" s="25"/>
      <c r="H5" s="28"/>
    </row>
    <row r="6" spans="1:8" ht="12.75" customHeight="1">
      <c r="A6" s="31">
        <v>45688</v>
      </c>
      <c r="B6" s="31"/>
      <c r="C6" s="20">
        <f>ROUND(1.72,5)</f>
        <v>1.72</v>
      </c>
      <c r="D6" s="20">
        <f>F6</f>
        <v>1.72</v>
      </c>
      <c r="E6" s="20">
        <f>F6</f>
        <v>1.72</v>
      </c>
      <c r="F6" s="20">
        <f>ROUND(1.72,5)</f>
        <v>1.72</v>
      </c>
      <c r="G6" s="19"/>
      <c r="H6" s="29"/>
    </row>
    <row r="7" spans="1:8" ht="12.75" customHeight="1">
      <c r="A7" s="31" t="s">
        <v>13</v>
      </c>
      <c r="B7" s="31"/>
      <c r="C7" s="18"/>
      <c r="D7" s="18"/>
      <c r="E7" s="18"/>
      <c r="F7" s="18"/>
      <c r="G7" s="19"/>
      <c r="H7" s="29"/>
    </row>
    <row r="8" spans="1:8" ht="12.75" customHeight="1">
      <c r="A8" s="31">
        <v>50436</v>
      </c>
      <c r="B8" s="31"/>
      <c r="C8" s="20">
        <f>ROUND(1.77,5)</f>
        <v>1.77</v>
      </c>
      <c r="D8" s="20">
        <f>F8</f>
        <v>1.77</v>
      </c>
      <c r="E8" s="20">
        <f>F8</f>
        <v>1.77</v>
      </c>
      <c r="F8" s="20">
        <f>ROUND(1.77,5)</f>
        <v>1.77</v>
      </c>
      <c r="G8" s="19"/>
      <c r="H8" s="29"/>
    </row>
    <row r="9" spans="1:8" ht="12.75" customHeight="1">
      <c r="A9" s="31" t="s">
        <v>14</v>
      </c>
      <c r="B9" s="31"/>
      <c r="C9" s="18"/>
      <c r="D9" s="18"/>
      <c r="E9" s="18"/>
      <c r="F9" s="18"/>
      <c r="G9" s="19"/>
      <c r="H9" s="29"/>
    </row>
    <row r="10" spans="1:8" ht="12.75" customHeight="1">
      <c r="A10" s="31">
        <v>55153</v>
      </c>
      <c r="B10" s="31"/>
      <c r="C10" s="20">
        <f>ROUND(1.77,5)</f>
        <v>1.77</v>
      </c>
      <c r="D10" s="20">
        <f>F10</f>
        <v>1.77</v>
      </c>
      <c r="E10" s="20">
        <f>F10</f>
        <v>1.77</v>
      </c>
      <c r="F10" s="20">
        <f>ROUND(1.77,5)</f>
        <v>1.77</v>
      </c>
      <c r="G10" s="19"/>
      <c r="H10" s="29"/>
    </row>
    <row r="11" spans="1:8" ht="12.75" customHeight="1">
      <c r="A11" s="31" t="s">
        <v>15</v>
      </c>
      <c r="B11" s="31"/>
      <c r="C11" s="18"/>
      <c r="D11" s="18"/>
      <c r="E11" s="18"/>
      <c r="F11" s="18"/>
      <c r="G11" s="19"/>
      <c r="H11" s="29"/>
    </row>
    <row r="12" spans="1:8" ht="12.75" customHeight="1">
      <c r="A12" s="31">
        <v>46875</v>
      </c>
      <c r="B12" s="31"/>
      <c r="C12" s="20">
        <f>ROUND(2.03,5)</f>
        <v>2.03</v>
      </c>
      <c r="D12" s="20">
        <f>F12</f>
        <v>2.03</v>
      </c>
      <c r="E12" s="20">
        <f>F12</f>
        <v>2.03</v>
      </c>
      <c r="F12" s="20">
        <f>ROUND(2.03,5)</f>
        <v>2.03</v>
      </c>
      <c r="G12" s="19"/>
      <c r="H12" s="29"/>
    </row>
    <row r="13" spans="1:8" ht="12.75" customHeight="1">
      <c r="A13" s="31" t="s">
        <v>16</v>
      </c>
      <c r="B13" s="31"/>
      <c r="C13" s="18"/>
      <c r="D13" s="18"/>
      <c r="E13" s="18"/>
      <c r="F13" s="18"/>
      <c r="G13" s="19"/>
      <c r="H13" s="29"/>
    </row>
    <row r="14" spans="1:8" ht="12.75" customHeight="1">
      <c r="A14" s="31">
        <v>48837</v>
      </c>
      <c r="B14" s="31"/>
      <c r="C14" s="20">
        <f>ROUND(9.445,5)</f>
        <v>9.445</v>
      </c>
      <c r="D14" s="20">
        <f>F14</f>
        <v>9.445</v>
      </c>
      <c r="E14" s="20">
        <f>F14</f>
        <v>9.445</v>
      </c>
      <c r="F14" s="20">
        <f>ROUND(9.445,5)</f>
        <v>9.445</v>
      </c>
      <c r="G14" s="19"/>
      <c r="H14" s="29"/>
    </row>
    <row r="15" spans="1:8" ht="12.75" customHeight="1">
      <c r="A15" s="31" t="s">
        <v>17</v>
      </c>
      <c r="B15" s="31"/>
      <c r="C15" s="18"/>
      <c r="D15" s="18"/>
      <c r="E15" s="18"/>
      <c r="F15" s="18"/>
      <c r="G15" s="19"/>
      <c r="H15" s="29"/>
    </row>
    <row r="16" spans="1:8" ht="12.75" customHeight="1">
      <c r="A16" s="31">
        <v>44985</v>
      </c>
      <c r="B16" s="31"/>
      <c r="C16" s="20">
        <f>ROUND(7.675,5)</f>
        <v>7.675</v>
      </c>
      <c r="D16" s="20">
        <f>F16</f>
        <v>7.675</v>
      </c>
      <c r="E16" s="20">
        <f>F16</f>
        <v>7.675</v>
      </c>
      <c r="F16" s="20">
        <f>ROUND(7.675,5)</f>
        <v>7.675</v>
      </c>
      <c r="G16" s="19"/>
      <c r="H16" s="29"/>
    </row>
    <row r="17" spans="1:8" ht="12.75" customHeight="1">
      <c r="A17" s="31" t="s">
        <v>18</v>
      </c>
      <c r="B17" s="31"/>
      <c r="C17" s="18"/>
      <c r="D17" s="18"/>
      <c r="E17" s="18"/>
      <c r="F17" s="18"/>
      <c r="G17" s="19"/>
      <c r="H17" s="29"/>
    </row>
    <row r="18" spans="1:8" ht="12.75" customHeight="1">
      <c r="A18" s="31">
        <v>42262</v>
      </c>
      <c r="B18" s="31"/>
      <c r="C18" s="21">
        <f>ROUND(0,3)</f>
        <v>0</v>
      </c>
      <c r="D18" s="21">
        <f>F18</f>
        <v>0</v>
      </c>
      <c r="E18" s="21">
        <f>F18</f>
        <v>0</v>
      </c>
      <c r="F18" s="21">
        <f>ROUND(0,3)</f>
        <v>0</v>
      </c>
      <c r="G18" s="19"/>
      <c r="H18" s="29"/>
    </row>
    <row r="19" spans="1:8" ht="12.75" customHeight="1">
      <c r="A19" s="31" t="s">
        <v>19</v>
      </c>
      <c r="B19" s="31"/>
      <c r="C19" s="18"/>
      <c r="D19" s="18"/>
      <c r="E19" s="18"/>
      <c r="F19" s="18"/>
      <c r="G19" s="19"/>
      <c r="H19" s="29"/>
    </row>
    <row r="20" spans="1:8" ht="12.75" customHeight="1">
      <c r="A20" s="31">
        <v>46377</v>
      </c>
      <c r="B20" s="31"/>
      <c r="C20" s="21">
        <f>ROUND(7.96,3)</f>
        <v>7.96</v>
      </c>
      <c r="D20" s="21">
        <f>F20</f>
        <v>7.96</v>
      </c>
      <c r="E20" s="21">
        <f>F20</f>
        <v>7.96</v>
      </c>
      <c r="F20" s="21">
        <f>ROUND(7.96,3)</f>
        <v>7.96</v>
      </c>
      <c r="G20" s="19"/>
      <c r="H20" s="29"/>
    </row>
    <row r="21" spans="1:8" ht="12.75" customHeight="1">
      <c r="A21" s="31" t="s">
        <v>20</v>
      </c>
      <c r="B21" s="31"/>
      <c r="C21" s="18"/>
      <c r="D21" s="18"/>
      <c r="E21" s="18"/>
      <c r="F21" s="18"/>
      <c r="G21" s="19"/>
      <c r="H21" s="29"/>
    </row>
    <row r="22" spans="1:8" ht="12.75" customHeight="1">
      <c r="A22" s="31">
        <v>45267</v>
      </c>
      <c r="B22" s="31"/>
      <c r="C22" s="21">
        <f>ROUND(1.68,3)</f>
        <v>1.68</v>
      </c>
      <c r="D22" s="21">
        <f>F22</f>
        <v>1.68</v>
      </c>
      <c r="E22" s="21">
        <f>F22</f>
        <v>1.68</v>
      </c>
      <c r="F22" s="21">
        <f>ROUND(1.68,3)</f>
        <v>1.68</v>
      </c>
      <c r="G22" s="19"/>
      <c r="H22" s="29"/>
    </row>
    <row r="23" spans="1:8" ht="12.75" customHeight="1">
      <c r="A23" s="31" t="s">
        <v>21</v>
      </c>
      <c r="B23" s="31"/>
      <c r="C23" s="18"/>
      <c r="D23" s="18"/>
      <c r="E23" s="18"/>
      <c r="F23" s="18"/>
      <c r="G23" s="19"/>
      <c r="H23" s="29"/>
    </row>
    <row r="24" spans="1:8" ht="12.75" customHeight="1">
      <c r="A24" s="31">
        <v>41994</v>
      </c>
      <c r="B24" s="31"/>
      <c r="C24" s="21">
        <f>ROUND(5.69,3)</f>
        <v>5.69</v>
      </c>
      <c r="D24" s="21">
        <f>F24</f>
        <v>5.69</v>
      </c>
      <c r="E24" s="21">
        <f>F24</f>
        <v>5.69</v>
      </c>
      <c r="F24" s="21">
        <f>ROUND(5.69,3)</f>
        <v>5.69</v>
      </c>
      <c r="G24" s="19"/>
      <c r="H24" s="29"/>
    </row>
    <row r="25" spans="1:8" ht="12.75" customHeight="1">
      <c r="A25" s="31" t="s">
        <v>22</v>
      </c>
      <c r="B25" s="31"/>
      <c r="C25" s="18"/>
      <c r="D25" s="18"/>
      <c r="E25" s="18"/>
      <c r="F25" s="18"/>
      <c r="G25" s="19"/>
      <c r="H25" s="29"/>
    </row>
    <row r="26" spans="1:8" ht="12.75" customHeight="1">
      <c r="A26" s="31">
        <v>48920</v>
      </c>
      <c r="B26" s="31"/>
      <c r="C26" s="21">
        <f>ROUND(1.75,3)</f>
        <v>1.75</v>
      </c>
      <c r="D26" s="21">
        <f>F26</f>
        <v>1.75</v>
      </c>
      <c r="E26" s="21">
        <f>F26</f>
        <v>1.75</v>
      </c>
      <c r="F26" s="21">
        <f>ROUND(1.75,3)</f>
        <v>1.75</v>
      </c>
      <c r="G26" s="19"/>
      <c r="H26" s="29"/>
    </row>
    <row r="27" spans="1:8" ht="12.75" customHeight="1">
      <c r="A27" s="31" t="s">
        <v>23</v>
      </c>
      <c r="B27" s="31"/>
      <c r="C27" s="18"/>
      <c r="D27" s="18"/>
      <c r="E27" s="18"/>
      <c r="F27" s="18"/>
      <c r="G27" s="19"/>
      <c r="H27" s="29"/>
    </row>
    <row r="28" spans="1:8" ht="12.75" customHeight="1">
      <c r="A28" s="31">
        <v>42993</v>
      </c>
      <c r="B28" s="31"/>
      <c r="C28" s="21">
        <f>ROUND(6.76,3)</f>
        <v>6.76</v>
      </c>
      <c r="D28" s="21">
        <f>F28</f>
        <v>6.76</v>
      </c>
      <c r="E28" s="21">
        <f>F28</f>
        <v>6.76</v>
      </c>
      <c r="F28" s="21">
        <f>ROUND(6.76,3)</f>
        <v>6.76</v>
      </c>
      <c r="G28" s="19"/>
      <c r="H28" s="29"/>
    </row>
    <row r="29" spans="1:8" ht="12.75" customHeight="1">
      <c r="A29" s="31" t="s">
        <v>24</v>
      </c>
      <c r="B29" s="31"/>
      <c r="C29" s="18"/>
      <c r="D29" s="18"/>
      <c r="E29" s="18"/>
      <c r="F29" s="18"/>
      <c r="G29" s="19"/>
      <c r="H29" s="29"/>
    </row>
    <row r="30" spans="1:8" ht="12.75" customHeight="1">
      <c r="A30" s="31">
        <v>43455</v>
      </c>
      <c r="B30" s="31"/>
      <c r="C30" s="21">
        <f>ROUND(7.06,3)</f>
        <v>7.06</v>
      </c>
      <c r="D30" s="21">
        <f>F30</f>
        <v>7.06</v>
      </c>
      <c r="E30" s="21">
        <f>F30</f>
        <v>7.06</v>
      </c>
      <c r="F30" s="21">
        <f>ROUND(7.06,3)</f>
        <v>7.06</v>
      </c>
      <c r="G30" s="19"/>
      <c r="H30" s="29"/>
    </row>
    <row r="31" spans="1:8" ht="12.75" customHeight="1">
      <c r="A31" s="31" t="s">
        <v>25</v>
      </c>
      <c r="B31" s="31"/>
      <c r="C31" s="18"/>
      <c r="D31" s="18"/>
      <c r="E31" s="18"/>
      <c r="F31" s="18"/>
      <c r="G31" s="19"/>
      <c r="H31" s="29"/>
    </row>
    <row r="32" spans="1:8" ht="12.75" customHeight="1">
      <c r="A32" s="31">
        <v>43845</v>
      </c>
      <c r="B32" s="31"/>
      <c r="C32" s="21">
        <f>ROUND(7.27,3)</f>
        <v>7.27</v>
      </c>
      <c r="D32" s="21">
        <f>F32</f>
        <v>7.27</v>
      </c>
      <c r="E32" s="21">
        <f>F32</f>
        <v>7.27</v>
      </c>
      <c r="F32" s="21">
        <f>ROUND(7.27,3)</f>
        <v>7.27</v>
      </c>
      <c r="G32" s="19"/>
      <c r="H32" s="29"/>
    </row>
    <row r="33" spans="1:8" ht="12.75" customHeight="1">
      <c r="A33" s="31" t="s">
        <v>26</v>
      </c>
      <c r="B33" s="31"/>
      <c r="C33" s="18"/>
      <c r="D33" s="18"/>
      <c r="E33" s="18"/>
      <c r="F33" s="18"/>
      <c r="G33" s="19"/>
      <c r="H33" s="29"/>
    </row>
    <row r="34" spans="1:8" ht="12.75" customHeight="1">
      <c r="A34" s="31">
        <v>44286</v>
      </c>
      <c r="B34" s="31"/>
      <c r="C34" s="21">
        <f>ROUND(7.44,3)</f>
        <v>7.44</v>
      </c>
      <c r="D34" s="21">
        <f>F34</f>
        <v>7.44</v>
      </c>
      <c r="E34" s="21">
        <f>F34</f>
        <v>7.44</v>
      </c>
      <c r="F34" s="21">
        <f>ROUND(7.44,3)</f>
        <v>7.44</v>
      </c>
      <c r="G34" s="19"/>
      <c r="H34" s="29"/>
    </row>
    <row r="35" spans="1:8" ht="12.75" customHeight="1">
      <c r="A35" s="31" t="s">
        <v>27</v>
      </c>
      <c r="B35" s="31"/>
      <c r="C35" s="18"/>
      <c r="D35" s="18"/>
      <c r="E35" s="18"/>
      <c r="F35" s="18"/>
      <c r="G35" s="19"/>
      <c r="H35" s="29"/>
    </row>
    <row r="36" spans="1:8" ht="12.75" customHeight="1">
      <c r="A36" s="31">
        <v>49765</v>
      </c>
      <c r="B36" s="31"/>
      <c r="C36" s="21">
        <f>ROUND(8.585,3)</f>
        <v>8.585</v>
      </c>
      <c r="D36" s="21">
        <f>F36</f>
        <v>8.585</v>
      </c>
      <c r="E36" s="21">
        <f>F36</f>
        <v>8.585</v>
      </c>
      <c r="F36" s="21">
        <f>ROUND(8.585,3)</f>
        <v>8.585</v>
      </c>
      <c r="G36" s="19"/>
      <c r="H36" s="29"/>
    </row>
    <row r="37" spans="1:8" ht="12.75" customHeight="1">
      <c r="A37" s="31" t="s">
        <v>28</v>
      </c>
      <c r="B37" s="31"/>
      <c r="C37" s="18"/>
      <c r="D37" s="18"/>
      <c r="E37" s="18"/>
      <c r="F37" s="18"/>
      <c r="G37" s="19"/>
      <c r="H37" s="29"/>
    </row>
    <row r="38" spans="1:8" ht="12.75" customHeight="1">
      <c r="A38" s="31">
        <v>46843</v>
      </c>
      <c r="B38" s="31"/>
      <c r="C38" s="21">
        <f>ROUND(1.72,3)</f>
        <v>1.72</v>
      </c>
      <c r="D38" s="21">
        <f>F38</f>
        <v>1.72</v>
      </c>
      <c r="E38" s="21">
        <f>F38</f>
        <v>1.72</v>
      </c>
      <c r="F38" s="21">
        <f>ROUND(1.72,3)</f>
        <v>1.72</v>
      </c>
      <c r="G38" s="19"/>
      <c r="H38" s="29"/>
    </row>
    <row r="39" spans="1:8" ht="12.75" customHeight="1">
      <c r="A39" s="31" t="s">
        <v>29</v>
      </c>
      <c r="B39" s="31"/>
      <c r="C39" s="18"/>
      <c r="D39" s="18"/>
      <c r="E39" s="18"/>
      <c r="F39" s="18"/>
      <c r="G39" s="19"/>
      <c r="H39" s="29"/>
    </row>
    <row r="40" spans="1:8" ht="12.75" customHeight="1">
      <c r="A40" s="31">
        <v>42766</v>
      </c>
      <c r="B40" s="31"/>
      <c r="C40" s="20">
        <f>ROUND(0.83,5)</f>
        <v>0.83</v>
      </c>
      <c r="D40" s="20">
        <f>F40</f>
        <v>0.83</v>
      </c>
      <c r="E40" s="20">
        <f>F40</f>
        <v>0.83</v>
      </c>
      <c r="F40" s="20">
        <f>ROUND(0.83,5)</f>
        <v>0.83</v>
      </c>
      <c r="G40" s="19"/>
      <c r="H40" s="29"/>
    </row>
    <row r="41" spans="1:8" ht="12.75" customHeight="1">
      <c r="A41" s="31" t="s">
        <v>30</v>
      </c>
      <c r="B41" s="31"/>
      <c r="C41" s="18"/>
      <c r="D41" s="18"/>
      <c r="E41" s="18"/>
      <c r="F41" s="18"/>
      <c r="G41" s="19"/>
      <c r="H41" s="29"/>
    </row>
    <row r="42" spans="1:8" ht="12.75" customHeight="1">
      <c r="A42" s="31">
        <v>44592</v>
      </c>
      <c r="B42" s="31"/>
      <c r="C42" s="21">
        <f>ROUND(1.61,3)</f>
        <v>1.61</v>
      </c>
      <c r="D42" s="21">
        <f>F42</f>
        <v>1.61</v>
      </c>
      <c r="E42" s="21">
        <f>F42</f>
        <v>1.61</v>
      </c>
      <c r="F42" s="21">
        <f>ROUND(1.61,3)</f>
        <v>1.61</v>
      </c>
      <c r="G42" s="19"/>
      <c r="H42" s="29"/>
    </row>
    <row r="43" spans="1:8" ht="12.75" customHeight="1">
      <c r="A43" s="31" t="s">
        <v>31</v>
      </c>
      <c r="B43" s="31"/>
      <c r="C43" s="18"/>
      <c r="D43" s="18"/>
      <c r="E43" s="18"/>
      <c r="F43" s="18"/>
      <c r="G43" s="19"/>
      <c r="H43" s="29"/>
    </row>
    <row r="44" spans="1:8" ht="12.75" customHeight="1">
      <c r="A44" s="31">
        <v>47907</v>
      </c>
      <c r="B44" s="31"/>
      <c r="C44" s="21">
        <f>ROUND(8.425,3)</f>
        <v>8.425</v>
      </c>
      <c r="D44" s="21">
        <f>F44</f>
        <v>8.425</v>
      </c>
      <c r="E44" s="21">
        <f>F44</f>
        <v>8.425</v>
      </c>
      <c r="F44" s="21">
        <f>ROUND(8.425,3)</f>
        <v>8.425</v>
      </c>
      <c r="G44" s="19"/>
      <c r="H44" s="29"/>
    </row>
    <row r="45" spans="1:8" ht="12.75" customHeight="1">
      <c r="A45" s="31" t="s">
        <v>32</v>
      </c>
      <c r="B45" s="31"/>
      <c r="C45" s="18"/>
      <c r="D45" s="18"/>
      <c r="E45" s="18"/>
      <c r="F45" s="18"/>
      <c r="G45" s="19"/>
      <c r="H45" s="29"/>
    </row>
    <row r="46" spans="1:8" ht="12.75" customHeight="1">
      <c r="A46" s="31">
        <v>41949</v>
      </c>
      <c r="B46" s="31"/>
      <c r="C46" s="20">
        <f>ROUND(1.72,5)</f>
        <v>1.72</v>
      </c>
      <c r="D46" s="20">
        <f>F46</f>
        <v>118.02061</v>
      </c>
      <c r="E46" s="20">
        <f>F46</f>
        <v>118.02061</v>
      </c>
      <c r="F46" s="20">
        <f>ROUND(118.02061,5)</f>
        <v>118.02061</v>
      </c>
      <c r="G46" s="19"/>
      <c r="H46" s="29"/>
    </row>
    <row r="47" spans="1:8" ht="12.75" customHeight="1">
      <c r="A47" s="31">
        <v>42040</v>
      </c>
      <c r="B47" s="31"/>
      <c r="C47" s="20">
        <f>ROUND(1.72,5)</f>
        <v>1.72</v>
      </c>
      <c r="D47" s="20">
        <f>F47</f>
        <v>118.69982</v>
      </c>
      <c r="E47" s="20">
        <f>F47</f>
        <v>118.69982</v>
      </c>
      <c r="F47" s="20">
        <f>ROUND(118.69982,5)</f>
        <v>118.69982</v>
      </c>
      <c r="G47" s="19"/>
      <c r="H47" s="29"/>
    </row>
    <row r="48" spans="1:8" ht="12.75" customHeight="1">
      <c r="A48" s="31">
        <v>42131</v>
      </c>
      <c r="B48" s="31"/>
      <c r="C48" s="20">
        <f>ROUND(1.72,5)</f>
        <v>1.72</v>
      </c>
      <c r="D48" s="20">
        <f>F48</f>
        <v>120.72716</v>
      </c>
      <c r="E48" s="20">
        <f>F48</f>
        <v>120.72716</v>
      </c>
      <c r="F48" s="20">
        <f>ROUND(120.72716,5)</f>
        <v>120.72716</v>
      </c>
      <c r="G48" s="19"/>
      <c r="H48" s="29"/>
    </row>
    <row r="49" spans="1:8" ht="12.75" customHeight="1">
      <c r="A49" s="31">
        <v>42222</v>
      </c>
      <c r="B49" s="31"/>
      <c r="C49" s="20">
        <f>ROUND(1.72,5)</f>
        <v>1.72</v>
      </c>
      <c r="D49" s="20">
        <f>F49</f>
        <v>122.9357</v>
      </c>
      <c r="E49" s="20">
        <f>F49</f>
        <v>122.9357</v>
      </c>
      <c r="F49" s="20">
        <f>ROUND(122.9357,5)</f>
        <v>122.9357</v>
      </c>
      <c r="G49" s="19"/>
      <c r="H49" s="29"/>
    </row>
    <row r="50" spans="1:8" ht="12.75" customHeight="1">
      <c r="A50" s="31">
        <v>42313</v>
      </c>
      <c r="B50" s="31"/>
      <c r="C50" s="20">
        <f>ROUND(1.72,5)</f>
        <v>1.72</v>
      </c>
      <c r="D50" s="20">
        <f>F50</f>
        <v>125.04656</v>
      </c>
      <c r="E50" s="20">
        <f>F50</f>
        <v>125.04656</v>
      </c>
      <c r="F50" s="20">
        <f>ROUND(125.04656,5)</f>
        <v>125.04656</v>
      </c>
      <c r="G50" s="19"/>
      <c r="H50" s="29"/>
    </row>
    <row r="51" spans="1:8" ht="12.75" customHeight="1">
      <c r="A51" s="31" t="s">
        <v>33</v>
      </c>
      <c r="B51" s="31"/>
      <c r="C51" s="18"/>
      <c r="D51" s="18"/>
      <c r="E51" s="18"/>
      <c r="F51" s="18"/>
      <c r="G51" s="19"/>
      <c r="H51" s="29"/>
    </row>
    <row r="52" spans="1:8" ht="12.75" customHeight="1">
      <c r="A52" s="31">
        <v>41949</v>
      </c>
      <c r="B52" s="31"/>
      <c r="C52" s="20">
        <f>ROUND(8.39,5)</f>
        <v>8.39</v>
      </c>
      <c r="D52" s="20">
        <f>F52</f>
        <v>8.38</v>
      </c>
      <c r="E52" s="20">
        <f>F52</f>
        <v>8.38</v>
      </c>
      <c r="F52" s="20">
        <f>ROUND(8.38,5)</f>
        <v>8.38</v>
      </c>
      <c r="G52" s="19"/>
      <c r="H52" s="29"/>
    </row>
    <row r="53" spans="1:8" ht="12.75" customHeight="1">
      <c r="A53" s="31">
        <v>42040</v>
      </c>
      <c r="B53" s="31"/>
      <c r="C53" s="20">
        <f>ROUND(8.39,5)</f>
        <v>8.39</v>
      </c>
      <c r="D53" s="20">
        <f>F53</f>
        <v>8.4516</v>
      </c>
      <c r="E53" s="20">
        <f>F53</f>
        <v>8.4516</v>
      </c>
      <c r="F53" s="20">
        <f>ROUND(8.4516,5)</f>
        <v>8.4516</v>
      </c>
      <c r="G53" s="19"/>
      <c r="H53" s="29"/>
    </row>
    <row r="54" spans="1:8" ht="12.75" customHeight="1">
      <c r="A54" s="31">
        <v>42131</v>
      </c>
      <c r="B54" s="31"/>
      <c r="C54" s="20">
        <f>ROUND(8.39,5)</f>
        <v>8.39</v>
      </c>
      <c r="D54" s="20">
        <f>F54</f>
        <v>8.49987</v>
      </c>
      <c r="E54" s="20">
        <f>F54</f>
        <v>8.49987</v>
      </c>
      <c r="F54" s="20">
        <f>ROUND(8.49987,5)</f>
        <v>8.49987</v>
      </c>
      <c r="G54" s="19"/>
      <c r="H54" s="29"/>
    </row>
    <row r="55" spans="1:8" ht="12.75" customHeight="1">
      <c r="A55" s="31">
        <v>42222</v>
      </c>
      <c r="B55" s="31"/>
      <c r="C55" s="20">
        <f>ROUND(8.39,5)</f>
        <v>8.39</v>
      </c>
      <c r="D55" s="20">
        <f>F55</f>
        <v>8.53435</v>
      </c>
      <c r="E55" s="20">
        <f>F55</f>
        <v>8.53435</v>
      </c>
      <c r="F55" s="20">
        <f>ROUND(8.53435,5)</f>
        <v>8.53435</v>
      </c>
      <c r="G55" s="19"/>
      <c r="H55" s="29"/>
    </row>
    <row r="56" spans="1:8" ht="12.75" customHeight="1">
      <c r="A56" s="31">
        <v>42313</v>
      </c>
      <c r="B56" s="31"/>
      <c r="C56" s="20">
        <f>ROUND(8.39,5)</f>
        <v>8.39</v>
      </c>
      <c r="D56" s="20">
        <f>F56</f>
        <v>8.57812</v>
      </c>
      <c r="E56" s="20">
        <f>F56</f>
        <v>8.57812</v>
      </c>
      <c r="F56" s="20">
        <f>ROUND(8.57812,5)</f>
        <v>8.57812</v>
      </c>
      <c r="G56" s="19"/>
      <c r="H56" s="29"/>
    </row>
    <row r="57" spans="1:8" ht="12.75" customHeight="1">
      <c r="A57" s="31" t="s">
        <v>34</v>
      </c>
      <c r="B57" s="31"/>
      <c r="C57" s="18"/>
      <c r="D57" s="18"/>
      <c r="E57" s="18"/>
      <c r="F57" s="18"/>
      <c r="G57" s="19"/>
      <c r="H57" s="29"/>
    </row>
    <row r="58" spans="1:8" ht="12.75" customHeight="1">
      <c r="A58" s="31">
        <v>41949</v>
      </c>
      <c r="B58" s="31"/>
      <c r="C58" s="20">
        <f>ROUND(8.545,5)</f>
        <v>8.545</v>
      </c>
      <c r="D58" s="20">
        <f>F58</f>
        <v>8.535</v>
      </c>
      <c r="E58" s="20">
        <f>F58</f>
        <v>8.535</v>
      </c>
      <c r="F58" s="20">
        <f>ROUND(8.535,5)</f>
        <v>8.535</v>
      </c>
      <c r="G58" s="19"/>
      <c r="H58" s="29"/>
    </row>
    <row r="59" spans="1:8" ht="12.75" customHeight="1">
      <c r="A59" s="31">
        <v>42040</v>
      </c>
      <c r="B59" s="31"/>
      <c r="C59" s="20">
        <f>ROUND(8.545,5)</f>
        <v>8.545</v>
      </c>
      <c r="D59" s="20">
        <f>F59</f>
        <v>8.60943</v>
      </c>
      <c r="E59" s="20">
        <f>F59</f>
        <v>8.60943</v>
      </c>
      <c r="F59" s="20">
        <f>ROUND(8.60943,5)</f>
        <v>8.60943</v>
      </c>
      <c r="G59" s="19"/>
      <c r="H59" s="29"/>
    </row>
    <row r="60" spans="1:8" ht="12.75" customHeight="1">
      <c r="A60" s="31">
        <v>42131</v>
      </c>
      <c r="B60" s="31"/>
      <c r="C60" s="20">
        <f>ROUND(8.545,5)</f>
        <v>8.545</v>
      </c>
      <c r="D60" s="20">
        <f>F60</f>
        <v>8.65824</v>
      </c>
      <c r="E60" s="20">
        <f>F60</f>
        <v>8.65824</v>
      </c>
      <c r="F60" s="20">
        <f>ROUND(8.65824,5)</f>
        <v>8.65824</v>
      </c>
      <c r="G60" s="19"/>
      <c r="H60" s="29"/>
    </row>
    <row r="61" spans="1:8" ht="12.75" customHeight="1">
      <c r="A61" s="31">
        <v>42222</v>
      </c>
      <c r="B61" s="31"/>
      <c r="C61" s="20">
        <f>ROUND(8.545,5)</f>
        <v>8.545</v>
      </c>
      <c r="D61" s="20">
        <f>F61</f>
        <v>8.69276</v>
      </c>
      <c r="E61" s="20">
        <f>F61</f>
        <v>8.69276</v>
      </c>
      <c r="F61" s="20">
        <f>ROUND(8.69276,5)</f>
        <v>8.69276</v>
      </c>
      <c r="G61" s="19"/>
      <c r="H61" s="29"/>
    </row>
    <row r="62" spans="1:8" ht="12.75" customHeight="1">
      <c r="A62" s="31">
        <v>42313</v>
      </c>
      <c r="B62" s="31"/>
      <c r="C62" s="20">
        <f>ROUND(8.545,5)</f>
        <v>8.545</v>
      </c>
      <c r="D62" s="20">
        <f>F62</f>
        <v>8.74025</v>
      </c>
      <c r="E62" s="20">
        <f>F62</f>
        <v>8.74025</v>
      </c>
      <c r="F62" s="20">
        <f>ROUND(8.74025,5)</f>
        <v>8.74025</v>
      </c>
      <c r="G62" s="19"/>
      <c r="H62" s="29"/>
    </row>
    <row r="63" spans="1:8" ht="12.75" customHeight="1">
      <c r="A63" s="31" t="s">
        <v>35</v>
      </c>
      <c r="B63" s="31"/>
      <c r="C63" s="18"/>
      <c r="D63" s="18"/>
      <c r="E63" s="18"/>
      <c r="F63" s="18"/>
      <c r="G63" s="19"/>
      <c r="H63" s="29"/>
    </row>
    <row r="64" spans="1:8" ht="12.75" customHeight="1">
      <c r="A64" s="31">
        <v>41949</v>
      </c>
      <c r="B64" s="31"/>
      <c r="C64" s="20">
        <f>ROUND(8.67,5)</f>
        <v>8.67</v>
      </c>
      <c r="D64" s="20">
        <f>F64</f>
        <v>8.66</v>
      </c>
      <c r="E64" s="20">
        <f>F64</f>
        <v>8.66</v>
      </c>
      <c r="F64" s="20">
        <f>ROUND(8.66,5)</f>
        <v>8.66</v>
      </c>
      <c r="G64" s="19"/>
      <c r="H64" s="29"/>
    </row>
    <row r="65" spans="1:8" ht="12.75" customHeight="1">
      <c r="A65" s="31">
        <v>42040</v>
      </c>
      <c r="B65" s="31"/>
      <c r="C65" s="20">
        <f>ROUND(8.67,5)</f>
        <v>8.67</v>
      </c>
      <c r="D65" s="20">
        <f>F65</f>
        <v>8.73087</v>
      </c>
      <c r="E65" s="20">
        <f>F65</f>
        <v>8.73087</v>
      </c>
      <c r="F65" s="20">
        <f>ROUND(8.73087,5)</f>
        <v>8.73087</v>
      </c>
      <c r="G65" s="19"/>
      <c r="H65" s="29"/>
    </row>
    <row r="66" spans="1:8" ht="12.75" customHeight="1">
      <c r="A66" s="31">
        <v>42131</v>
      </c>
      <c r="B66" s="31"/>
      <c r="C66" s="20">
        <f>ROUND(8.67,5)</f>
        <v>8.67</v>
      </c>
      <c r="D66" s="20">
        <f>F66</f>
        <v>8.77993</v>
      </c>
      <c r="E66" s="20">
        <f>F66</f>
        <v>8.77993</v>
      </c>
      <c r="F66" s="20">
        <f>ROUND(8.77993,5)</f>
        <v>8.77993</v>
      </c>
      <c r="G66" s="19"/>
      <c r="H66" s="29"/>
    </row>
    <row r="67" spans="1:8" ht="12.75" customHeight="1">
      <c r="A67" s="31">
        <v>42222</v>
      </c>
      <c r="B67" s="31"/>
      <c r="C67" s="20">
        <f>ROUND(8.67,5)</f>
        <v>8.67</v>
      </c>
      <c r="D67" s="20">
        <f>F67</f>
        <v>8.81715</v>
      </c>
      <c r="E67" s="20">
        <f>F67</f>
        <v>8.81715</v>
      </c>
      <c r="F67" s="20">
        <f>ROUND(8.81715,5)</f>
        <v>8.81715</v>
      </c>
      <c r="G67" s="19"/>
      <c r="H67" s="29"/>
    </row>
    <row r="68" spans="1:8" ht="12.75" customHeight="1">
      <c r="A68" s="31">
        <v>42313</v>
      </c>
      <c r="B68" s="31"/>
      <c r="C68" s="20">
        <f>ROUND(8.67,5)</f>
        <v>8.67</v>
      </c>
      <c r="D68" s="20">
        <f>F68</f>
        <v>8.862</v>
      </c>
      <c r="E68" s="20">
        <f>F68</f>
        <v>8.862</v>
      </c>
      <c r="F68" s="20">
        <f>ROUND(8.862,5)</f>
        <v>8.862</v>
      </c>
      <c r="G68" s="19"/>
      <c r="H68" s="29"/>
    </row>
    <row r="69" spans="1:8" ht="12.75" customHeight="1">
      <c r="A69" s="31" t="s">
        <v>36</v>
      </c>
      <c r="B69" s="31"/>
      <c r="C69" s="18"/>
      <c r="D69" s="18"/>
      <c r="E69" s="18"/>
      <c r="F69" s="18"/>
      <c r="G69" s="19"/>
      <c r="H69" s="29"/>
    </row>
    <row r="70" spans="1:8" ht="12.75" customHeight="1">
      <c r="A70" s="31">
        <v>41949</v>
      </c>
      <c r="B70" s="31"/>
      <c r="C70" s="20">
        <f>ROUND(1.77,5)</f>
        <v>1.77</v>
      </c>
      <c r="D70" s="20">
        <f>F70</f>
        <v>125.29941</v>
      </c>
      <c r="E70" s="20">
        <f>F70</f>
        <v>125.29941</v>
      </c>
      <c r="F70" s="20">
        <f>ROUND(125.29941,5)</f>
        <v>125.29941</v>
      </c>
      <c r="G70" s="19"/>
      <c r="H70" s="29"/>
    </row>
    <row r="71" spans="1:8" ht="12.75" customHeight="1">
      <c r="A71" s="31">
        <v>42040</v>
      </c>
      <c r="B71" s="31"/>
      <c r="C71" s="20">
        <f>ROUND(1.77,5)</f>
        <v>1.77</v>
      </c>
      <c r="D71" s="20">
        <f>F71</f>
        <v>126.17892</v>
      </c>
      <c r="E71" s="20">
        <f>F71</f>
        <v>126.17892</v>
      </c>
      <c r="F71" s="20">
        <f>ROUND(126.17892,5)</f>
        <v>126.17892</v>
      </c>
      <c r="G71" s="19"/>
      <c r="H71" s="29"/>
    </row>
    <row r="72" spans="1:8" ht="12.75" customHeight="1">
      <c r="A72" s="31">
        <v>42131</v>
      </c>
      <c r="B72" s="31"/>
      <c r="C72" s="20">
        <f>ROUND(1.77,5)</f>
        <v>1.77</v>
      </c>
      <c r="D72" s="20">
        <f>F72</f>
        <v>128.33423</v>
      </c>
      <c r="E72" s="20">
        <f>F72</f>
        <v>128.33423</v>
      </c>
      <c r="F72" s="20">
        <f>ROUND(128.33423,5)</f>
        <v>128.33423</v>
      </c>
      <c r="G72" s="19"/>
      <c r="H72" s="29"/>
    </row>
    <row r="73" spans="1:8" ht="12.75" customHeight="1">
      <c r="A73" s="31">
        <v>42222</v>
      </c>
      <c r="B73" s="31"/>
      <c r="C73" s="20">
        <f>ROUND(1.77,5)</f>
        <v>1.77</v>
      </c>
      <c r="D73" s="20">
        <f>F73</f>
        <v>130.6795</v>
      </c>
      <c r="E73" s="20">
        <f>F73</f>
        <v>130.6795</v>
      </c>
      <c r="F73" s="20">
        <f>ROUND(130.6795,5)</f>
        <v>130.6795</v>
      </c>
      <c r="G73" s="19"/>
      <c r="H73" s="29"/>
    </row>
    <row r="74" spans="1:8" ht="12.75" customHeight="1">
      <c r="A74" s="31">
        <v>42313</v>
      </c>
      <c r="B74" s="31"/>
      <c r="C74" s="20">
        <f>ROUND(1.77,5)</f>
        <v>1.77</v>
      </c>
      <c r="D74" s="20">
        <f>F74</f>
        <v>132.92332</v>
      </c>
      <c r="E74" s="20">
        <f>F74</f>
        <v>132.92332</v>
      </c>
      <c r="F74" s="20">
        <f>ROUND(132.92332,5)</f>
        <v>132.92332</v>
      </c>
      <c r="G74" s="19"/>
      <c r="H74" s="29"/>
    </row>
    <row r="75" spans="1:8" ht="12.75" customHeight="1">
      <c r="A75" s="31" t="s">
        <v>37</v>
      </c>
      <c r="B75" s="31"/>
      <c r="C75" s="18"/>
      <c r="D75" s="18"/>
      <c r="E75" s="18"/>
      <c r="F75" s="18"/>
      <c r="G75" s="19"/>
      <c r="H75" s="29"/>
    </row>
    <row r="76" spans="1:8" ht="12.75" customHeight="1">
      <c r="A76" s="31">
        <v>41949</v>
      </c>
      <c r="B76" s="31"/>
      <c r="C76" s="20">
        <f>ROUND(8.755,5)</f>
        <v>8.755</v>
      </c>
      <c r="D76" s="20">
        <f>F76</f>
        <v>8.745</v>
      </c>
      <c r="E76" s="20">
        <f>F76</f>
        <v>8.745</v>
      </c>
      <c r="F76" s="20">
        <f>ROUND(8.745,5)</f>
        <v>8.745</v>
      </c>
      <c r="G76" s="19"/>
      <c r="H76" s="29"/>
    </row>
    <row r="77" spans="1:8" ht="12.75" customHeight="1">
      <c r="A77" s="31">
        <v>42040</v>
      </c>
      <c r="B77" s="31"/>
      <c r="C77" s="20">
        <f>ROUND(8.755,5)</f>
        <v>8.755</v>
      </c>
      <c r="D77" s="20">
        <f>F77</f>
        <v>8.81394</v>
      </c>
      <c r="E77" s="20">
        <f>F77</f>
        <v>8.81394</v>
      </c>
      <c r="F77" s="20">
        <f>ROUND(8.81394,5)</f>
        <v>8.81394</v>
      </c>
      <c r="G77" s="19"/>
      <c r="H77" s="29"/>
    </row>
    <row r="78" spans="1:8" ht="12.75" customHeight="1">
      <c r="A78" s="31">
        <v>42131</v>
      </c>
      <c r="B78" s="31"/>
      <c r="C78" s="20">
        <f>ROUND(8.755,5)</f>
        <v>8.755</v>
      </c>
      <c r="D78" s="20">
        <f>F78</f>
        <v>8.86174</v>
      </c>
      <c r="E78" s="20">
        <f>F78</f>
        <v>8.86174</v>
      </c>
      <c r="F78" s="20">
        <f>ROUND(8.86174,5)</f>
        <v>8.86174</v>
      </c>
      <c r="G78" s="19"/>
      <c r="H78" s="29"/>
    </row>
    <row r="79" spans="1:8" ht="12.75" customHeight="1">
      <c r="A79" s="31">
        <v>42222</v>
      </c>
      <c r="B79" s="31"/>
      <c r="C79" s="20">
        <f>ROUND(8.755,5)</f>
        <v>8.755</v>
      </c>
      <c r="D79" s="20">
        <f>F79</f>
        <v>8.89847</v>
      </c>
      <c r="E79" s="20">
        <f>F79</f>
        <v>8.89847</v>
      </c>
      <c r="F79" s="20">
        <f>ROUND(8.89847,5)</f>
        <v>8.89847</v>
      </c>
      <c r="G79" s="19"/>
      <c r="H79" s="29"/>
    </row>
    <row r="80" spans="1:8" ht="12.75" customHeight="1">
      <c r="A80" s="31">
        <v>42313</v>
      </c>
      <c r="B80" s="31"/>
      <c r="C80" s="20">
        <f>ROUND(8.755,5)</f>
        <v>8.755</v>
      </c>
      <c r="D80" s="20">
        <f>F80</f>
        <v>8.94215</v>
      </c>
      <c r="E80" s="20">
        <f>F80</f>
        <v>8.94215</v>
      </c>
      <c r="F80" s="20">
        <f>ROUND(8.94215,5)</f>
        <v>8.94215</v>
      </c>
      <c r="G80" s="19"/>
      <c r="H80" s="29"/>
    </row>
    <row r="81" spans="1:8" ht="12.75" customHeight="1">
      <c r="A81" s="31" t="s">
        <v>38</v>
      </c>
      <c r="B81" s="31"/>
      <c r="C81" s="18"/>
      <c r="D81" s="18"/>
      <c r="E81" s="18"/>
      <c r="F81" s="18"/>
      <c r="G81" s="19"/>
      <c r="H81" s="29"/>
    </row>
    <row r="82" spans="1:8" ht="12.75" customHeight="1">
      <c r="A82" s="31">
        <v>41949</v>
      </c>
      <c r="B82" s="31"/>
      <c r="C82" s="20">
        <f>ROUND(126.72971,5)</f>
        <v>126.72971</v>
      </c>
      <c r="D82" s="20">
        <f>F82</f>
        <v>125.59554</v>
      </c>
      <c r="E82" s="20">
        <f>F82</f>
        <v>125.59554</v>
      </c>
      <c r="F82" s="20">
        <f>ROUND(125.59554,5)</f>
        <v>125.59554</v>
      </c>
      <c r="G82" s="19"/>
      <c r="H82" s="29"/>
    </row>
    <row r="83" spans="1:8" ht="12.75" customHeight="1">
      <c r="A83" s="31">
        <v>42040</v>
      </c>
      <c r="B83" s="31"/>
      <c r="C83" s="20">
        <f>ROUND(126.72971,5)</f>
        <v>126.72971</v>
      </c>
      <c r="D83" s="20">
        <f>F83</f>
        <v>128.70131</v>
      </c>
      <c r="E83" s="20">
        <f>F83</f>
        <v>128.70131</v>
      </c>
      <c r="F83" s="20">
        <f>ROUND(128.70131,5)</f>
        <v>128.70131</v>
      </c>
      <c r="G83" s="19"/>
      <c r="H83" s="29"/>
    </row>
    <row r="84" spans="1:8" ht="12.75" customHeight="1">
      <c r="A84" s="31">
        <v>42131</v>
      </c>
      <c r="B84" s="31"/>
      <c r="C84" s="20">
        <f>ROUND(126.72971,5)</f>
        <v>126.72971</v>
      </c>
      <c r="D84" s="20">
        <f>F84</f>
        <v>129.52201</v>
      </c>
      <c r="E84" s="20">
        <f>F84</f>
        <v>129.52201</v>
      </c>
      <c r="F84" s="20">
        <f>ROUND(129.52201,5)</f>
        <v>129.52201</v>
      </c>
      <c r="G84" s="19"/>
      <c r="H84" s="29"/>
    </row>
    <row r="85" spans="1:8" ht="12.75" customHeight="1">
      <c r="A85" s="31">
        <v>42222</v>
      </c>
      <c r="B85" s="31"/>
      <c r="C85" s="20">
        <f>ROUND(126.72971,5)</f>
        <v>126.72971</v>
      </c>
      <c r="D85" s="20">
        <f>F85</f>
        <v>131.93316</v>
      </c>
      <c r="E85" s="20">
        <f>F85</f>
        <v>131.93316</v>
      </c>
      <c r="F85" s="20">
        <f>ROUND(131.93316,5)</f>
        <v>131.93316</v>
      </c>
      <c r="G85" s="19"/>
      <c r="H85" s="29"/>
    </row>
    <row r="86" spans="1:8" ht="12.75" customHeight="1">
      <c r="A86" s="31">
        <v>42313</v>
      </c>
      <c r="B86" s="31"/>
      <c r="C86" s="20">
        <f>ROUND(126.72971,5)</f>
        <v>126.72971</v>
      </c>
      <c r="D86" s="20">
        <f>F86</f>
        <v>134.19846</v>
      </c>
      <c r="E86" s="20">
        <f>F86</f>
        <v>134.19846</v>
      </c>
      <c r="F86" s="20">
        <f>ROUND(134.19846,5)</f>
        <v>134.19846</v>
      </c>
      <c r="G86" s="19"/>
      <c r="H86" s="29"/>
    </row>
    <row r="87" spans="1:8" ht="12.75" customHeight="1">
      <c r="A87" s="31" t="s">
        <v>39</v>
      </c>
      <c r="B87" s="31"/>
      <c r="C87" s="18"/>
      <c r="D87" s="18"/>
      <c r="E87" s="18"/>
      <c r="F87" s="18"/>
      <c r="G87" s="19"/>
      <c r="H87" s="29"/>
    </row>
    <row r="88" spans="1:8" ht="12.75" customHeight="1">
      <c r="A88" s="31">
        <v>41949</v>
      </c>
      <c r="B88" s="31"/>
      <c r="C88" s="20">
        <f>ROUND(1.77,5)</f>
        <v>1.77</v>
      </c>
      <c r="D88" s="20">
        <f>F88</f>
        <v>135.83852</v>
      </c>
      <c r="E88" s="20">
        <f>F88</f>
        <v>135.83852</v>
      </c>
      <c r="F88" s="20">
        <f>ROUND(135.83852,5)</f>
        <v>135.83852</v>
      </c>
      <c r="G88" s="19"/>
      <c r="H88" s="29"/>
    </row>
    <row r="89" spans="1:8" ht="12.75" customHeight="1">
      <c r="A89" s="31">
        <v>42040</v>
      </c>
      <c r="B89" s="31"/>
      <c r="C89" s="20">
        <f>ROUND(1.77,5)</f>
        <v>1.77</v>
      </c>
      <c r="D89" s="20">
        <f>F89</f>
        <v>138.21772</v>
      </c>
      <c r="E89" s="20">
        <f>F89</f>
        <v>138.21772</v>
      </c>
      <c r="F89" s="20">
        <f>ROUND(138.21772,5)</f>
        <v>138.21772</v>
      </c>
      <c r="G89" s="19"/>
      <c r="H89" s="29"/>
    </row>
    <row r="90" spans="1:8" ht="12.75" customHeight="1">
      <c r="A90" s="31">
        <v>42131</v>
      </c>
      <c r="B90" s="31"/>
      <c r="C90" s="20">
        <f>ROUND(1.77,5)</f>
        <v>1.77</v>
      </c>
      <c r="D90" s="20">
        <f>F90</f>
        <v>140.5784</v>
      </c>
      <c r="E90" s="20">
        <f>F90</f>
        <v>140.5784</v>
      </c>
      <c r="F90" s="20">
        <f>ROUND(140.5784,5)</f>
        <v>140.5784</v>
      </c>
      <c r="G90" s="19"/>
      <c r="H90" s="29"/>
    </row>
    <row r="91" spans="1:8" ht="12.75" customHeight="1">
      <c r="A91" s="31">
        <v>42222</v>
      </c>
      <c r="B91" s="31"/>
      <c r="C91" s="20">
        <f>ROUND(1.77,5)</f>
        <v>1.77</v>
      </c>
      <c r="D91" s="20">
        <f>F91</f>
        <v>141.69921</v>
      </c>
      <c r="E91" s="20">
        <f>F91</f>
        <v>141.69921</v>
      </c>
      <c r="F91" s="20">
        <f>ROUND(141.69921,5)</f>
        <v>141.69921</v>
      </c>
      <c r="G91" s="19"/>
      <c r="H91" s="29"/>
    </row>
    <row r="92" spans="1:8" ht="12.75" customHeight="1">
      <c r="A92" s="31">
        <v>42313</v>
      </c>
      <c r="B92" s="31"/>
      <c r="C92" s="20">
        <f>ROUND(1.77,5)</f>
        <v>1.77</v>
      </c>
      <c r="D92" s="20">
        <f>F92</f>
        <v>144.13205</v>
      </c>
      <c r="E92" s="20">
        <f>F92</f>
        <v>144.13205</v>
      </c>
      <c r="F92" s="20">
        <f>ROUND(144.13205,5)</f>
        <v>144.13205</v>
      </c>
      <c r="G92" s="19"/>
      <c r="H92" s="29"/>
    </row>
    <row r="93" spans="1:8" ht="12.75" customHeight="1">
      <c r="A93" s="31" t="s">
        <v>40</v>
      </c>
      <c r="B93" s="31"/>
      <c r="C93" s="18"/>
      <c r="D93" s="18"/>
      <c r="E93" s="18"/>
      <c r="F93" s="18"/>
      <c r="G93" s="19"/>
      <c r="H93" s="29"/>
    </row>
    <row r="94" spans="1:8" ht="12.75" customHeight="1">
      <c r="A94" s="31">
        <v>41949</v>
      </c>
      <c r="B94" s="31"/>
      <c r="C94" s="20">
        <f>ROUND(2.03,5)</f>
        <v>2.03</v>
      </c>
      <c r="D94" s="20">
        <f>F94</f>
        <v>123.48506</v>
      </c>
      <c r="E94" s="20">
        <f>F94</f>
        <v>123.48506</v>
      </c>
      <c r="F94" s="20">
        <f>ROUND(123.48506,5)</f>
        <v>123.48506</v>
      </c>
      <c r="G94" s="19"/>
      <c r="H94" s="29"/>
    </row>
    <row r="95" spans="1:8" ht="12.75" customHeight="1">
      <c r="A95" s="31">
        <v>42040</v>
      </c>
      <c r="B95" s="31"/>
      <c r="C95" s="20">
        <f>ROUND(2.03,5)</f>
        <v>2.03</v>
      </c>
      <c r="D95" s="20">
        <f>F95</f>
        <v>125.40614</v>
      </c>
      <c r="E95" s="20">
        <f>F95</f>
        <v>125.40614</v>
      </c>
      <c r="F95" s="20">
        <f>ROUND(125.40614,5)</f>
        <v>125.40614</v>
      </c>
      <c r="G95" s="19"/>
      <c r="H95" s="29"/>
    </row>
    <row r="96" spans="1:8" ht="12.75" customHeight="1">
      <c r="A96" s="31">
        <v>42131</v>
      </c>
      <c r="B96" s="31"/>
      <c r="C96" s="20">
        <f>ROUND(2.03,5)</f>
        <v>2.03</v>
      </c>
      <c r="D96" s="20">
        <f>F96</f>
        <v>126.02943</v>
      </c>
      <c r="E96" s="20">
        <f>F96</f>
        <v>126.02943</v>
      </c>
      <c r="F96" s="20">
        <f>ROUND(126.02943,5)</f>
        <v>126.02943</v>
      </c>
      <c r="G96" s="19"/>
      <c r="H96" s="29"/>
    </row>
    <row r="97" spans="1:8" ht="12.75" customHeight="1">
      <c r="A97" s="31">
        <v>42222</v>
      </c>
      <c r="B97" s="31"/>
      <c r="C97" s="20">
        <f>ROUND(2.03,5)</f>
        <v>2.03</v>
      </c>
      <c r="D97" s="20">
        <f>F97</f>
        <v>128.3761</v>
      </c>
      <c r="E97" s="20">
        <f>F97</f>
        <v>128.3761</v>
      </c>
      <c r="F97" s="20">
        <f>ROUND(128.3761,5)</f>
        <v>128.3761</v>
      </c>
      <c r="G97" s="19"/>
      <c r="H97" s="29"/>
    </row>
    <row r="98" spans="1:8" ht="12.75" customHeight="1">
      <c r="A98" s="31">
        <v>42313</v>
      </c>
      <c r="B98" s="31"/>
      <c r="C98" s="20">
        <f>ROUND(2.03,5)</f>
        <v>2.03</v>
      </c>
      <c r="D98" s="20">
        <f>F98</f>
        <v>130.58028</v>
      </c>
      <c r="E98" s="20">
        <f>F98</f>
        <v>130.58028</v>
      </c>
      <c r="F98" s="20">
        <f>ROUND(130.58028,5)</f>
        <v>130.58028</v>
      </c>
      <c r="G98" s="19"/>
      <c r="H98" s="29"/>
    </row>
    <row r="99" spans="1:8" ht="12.75" customHeight="1">
      <c r="A99" s="31" t="s">
        <v>41</v>
      </c>
      <c r="B99" s="31"/>
      <c r="C99" s="18"/>
      <c r="D99" s="18"/>
      <c r="E99" s="18"/>
      <c r="F99" s="18"/>
      <c r="G99" s="19"/>
      <c r="H99" s="29"/>
    </row>
    <row r="100" spans="1:8" ht="12.75" customHeight="1">
      <c r="A100" s="31">
        <v>41949</v>
      </c>
      <c r="B100" s="31"/>
      <c r="C100" s="20">
        <f>ROUND(9.445,5)</f>
        <v>9.445</v>
      </c>
      <c r="D100" s="20">
        <f>F100</f>
        <v>9.435</v>
      </c>
      <c r="E100" s="20">
        <f>F100</f>
        <v>9.435</v>
      </c>
      <c r="F100" s="20">
        <f>ROUND(9.435,5)</f>
        <v>9.435</v>
      </c>
      <c r="G100" s="19"/>
      <c r="H100" s="29"/>
    </row>
    <row r="101" spans="1:8" ht="12.75" customHeight="1">
      <c r="A101" s="31">
        <v>42040</v>
      </c>
      <c r="B101" s="31"/>
      <c r="C101" s="20">
        <f>ROUND(9.445,5)</f>
        <v>9.445</v>
      </c>
      <c r="D101" s="20">
        <f>F101</f>
        <v>9.53514</v>
      </c>
      <c r="E101" s="20">
        <f>F101</f>
        <v>9.53514</v>
      </c>
      <c r="F101" s="20">
        <f>ROUND(9.53514,5)</f>
        <v>9.53514</v>
      </c>
      <c r="G101" s="19"/>
      <c r="H101" s="29"/>
    </row>
    <row r="102" spans="1:8" ht="12.75" customHeight="1">
      <c r="A102" s="31">
        <v>42131</v>
      </c>
      <c r="B102" s="31"/>
      <c r="C102" s="20">
        <f>ROUND(9.445,5)</f>
        <v>9.445</v>
      </c>
      <c r="D102" s="20">
        <f>F102</f>
        <v>9.60791</v>
      </c>
      <c r="E102" s="20">
        <f>F102</f>
        <v>9.60791</v>
      </c>
      <c r="F102" s="20">
        <f>ROUND(9.60791,5)</f>
        <v>9.60791</v>
      </c>
      <c r="G102" s="19"/>
      <c r="H102" s="29"/>
    </row>
    <row r="103" spans="1:8" ht="12.75" customHeight="1">
      <c r="A103" s="31">
        <v>42222</v>
      </c>
      <c r="B103" s="31"/>
      <c r="C103" s="20">
        <f>ROUND(9.445,5)</f>
        <v>9.445</v>
      </c>
      <c r="D103" s="20">
        <f>F103</f>
        <v>9.66728</v>
      </c>
      <c r="E103" s="20">
        <f>F103</f>
        <v>9.66728</v>
      </c>
      <c r="F103" s="20">
        <f>ROUND(9.66728,5)</f>
        <v>9.66728</v>
      </c>
      <c r="G103" s="19"/>
      <c r="H103" s="29"/>
    </row>
    <row r="104" spans="1:8" ht="12.75" customHeight="1">
      <c r="A104" s="31">
        <v>42313</v>
      </c>
      <c r="B104" s="31"/>
      <c r="C104" s="20">
        <f>ROUND(9.445,5)</f>
        <v>9.445</v>
      </c>
      <c r="D104" s="20">
        <f>F104</f>
        <v>9.74115</v>
      </c>
      <c r="E104" s="20">
        <f>F104</f>
        <v>9.74115</v>
      </c>
      <c r="F104" s="20">
        <f>ROUND(9.74115,5)</f>
        <v>9.74115</v>
      </c>
      <c r="G104" s="19"/>
      <c r="H104" s="29"/>
    </row>
    <row r="105" spans="1:8" ht="12.75" customHeight="1">
      <c r="A105" s="31" t="s">
        <v>42</v>
      </c>
      <c r="B105" s="31"/>
      <c r="C105" s="18"/>
      <c r="D105" s="18"/>
      <c r="E105" s="18"/>
      <c r="F105" s="18"/>
      <c r="G105" s="19"/>
      <c r="H105" s="29"/>
    </row>
    <row r="106" spans="1:8" ht="12.75" customHeight="1">
      <c r="A106" s="31">
        <v>41949</v>
      </c>
      <c r="B106" s="31"/>
      <c r="C106" s="20">
        <f>ROUND(145.1604876,5)</f>
        <v>145.16049</v>
      </c>
      <c r="D106" s="20">
        <f>F106</f>
        <v>145.16049</v>
      </c>
      <c r="E106" s="20">
        <f>F106</f>
        <v>145.16049</v>
      </c>
      <c r="F106" s="20">
        <f>ROUND(145.16049,5)</f>
        <v>145.16049</v>
      </c>
      <c r="G106" s="19"/>
      <c r="H106" s="29"/>
    </row>
    <row r="107" spans="1:8" ht="12.75" customHeight="1">
      <c r="A107" s="31">
        <v>42040</v>
      </c>
      <c r="B107" s="31"/>
      <c r="C107" s="20">
        <f>ROUND(145.1604876,5)</f>
        <v>145.16049</v>
      </c>
      <c r="D107" s="20">
        <f>F107</f>
        <v>145.45997</v>
      </c>
      <c r="E107" s="20">
        <f>F107</f>
        <v>145.45997</v>
      </c>
      <c r="F107" s="20">
        <f>ROUND(145.45997,5)</f>
        <v>145.45997</v>
      </c>
      <c r="G107" s="19"/>
      <c r="H107" s="29"/>
    </row>
    <row r="108" spans="1:8" ht="12.75" customHeight="1">
      <c r="A108" s="31" t="s">
        <v>43</v>
      </c>
      <c r="B108" s="31"/>
      <c r="C108" s="18"/>
      <c r="D108" s="18"/>
      <c r="E108" s="18"/>
      <c r="F108" s="18"/>
      <c r="G108" s="19"/>
      <c r="H108" s="29"/>
    </row>
    <row r="109" spans="1:8" ht="12.75" customHeight="1">
      <c r="A109" s="31">
        <v>41949</v>
      </c>
      <c r="B109" s="31"/>
      <c r="C109" s="20">
        <f>ROUND(7.675,5)</f>
        <v>7.675</v>
      </c>
      <c r="D109" s="20">
        <f>F109</f>
        <v>7.67</v>
      </c>
      <c r="E109" s="20">
        <f>F109</f>
        <v>7.67</v>
      </c>
      <c r="F109" s="20">
        <f>ROUND(7.67,5)</f>
        <v>7.67</v>
      </c>
      <c r="G109" s="19"/>
      <c r="H109" s="29"/>
    </row>
    <row r="110" spans="1:8" ht="12.75" customHeight="1">
      <c r="A110" s="31">
        <v>42040</v>
      </c>
      <c r="B110" s="31"/>
      <c r="C110" s="20">
        <f>ROUND(7.675,5)</f>
        <v>7.675</v>
      </c>
      <c r="D110" s="20">
        <f>F110</f>
        <v>7.73833</v>
      </c>
      <c r="E110" s="20">
        <f>F110</f>
        <v>7.73833</v>
      </c>
      <c r="F110" s="20">
        <f>ROUND(7.73833,5)</f>
        <v>7.73833</v>
      </c>
      <c r="G110" s="19"/>
      <c r="H110" s="29"/>
    </row>
    <row r="111" spans="1:8" ht="12.75" customHeight="1">
      <c r="A111" s="31">
        <v>42131</v>
      </c>
      <c r="B111" s="31"/>
      <c r="C111" s="20">
        <f>ROUND(7.675,5)</f>
        <v>7.675</v>
      </c>
      <c r="D111" s="20">
        <f>F111</f>
        <v>7.7739</v>
      </c>
      <c r="E111" s="20">
        <f>F111</f>
        <v>7.7739</v>
      </c>
      <c r="F111" s="20">
        <f>ROUND(7.7739,5)</f>
        <v>7.7739</v>
      </c>
      <c r="G111" s="19"/>
      <c r="H111" s="29"/>
    </row>
    <row r="112" spans="1:8" ht="12.75" customHeight="1">
      <c r="A112" s="31">
        <v>42222</v>
      </c>
      <c r="B112" s="31"/>
      <c r="C112" s="20">
        <f>ROUND(7.675,5)</f>
        <v>7.675</v>
      </c>
      <c r="D112" s="20">
        <f>F112</f>
        <v>7.78713</v>
      </c>
      <c r="E112" s="20">
        <f>F112</f>
        <v>7.78713</v>
      </c>
      <c r="F112" s="20">
        <f>ROUND(7.78713,5)</f>
        <v>7.78713</v>
      </c>
      <c r="G112" s="19"/>
      <c r="H112" s="29"/>
    </row>
    <row r="113" spans="1:8" ht="12.75" customHeight="1">
      <c r="A113" s="31">
        <v>42313</v>
      </c>
      <c r="B113" s="31"/>
      <c r="C113" s="20">
        <f>ROUND(7.675,5)</f>
        <v>7.675</v>
      </c>
      <c r="D113" s="20">
        <f>F113</f>
        <v>7.82471</v>
      </c>
      <c r="E113" s="20">
        <f>F113</f>
        <v>7.82471</v>
      </c>
      <c r="F113" s="20">
        <f>ROUND(7.82471,5)</f>
        <v>7.82471</v>
      </c>
      <c r="G113" s="19"/>
      <c r="H113" s="29"/>
    </row>
    <row r="114" spans="1:8" ht="12.75" customHeight="1">
      <c r="A114" s="31" t="s">
        <v>44</v>
      </c>
      <c r="B114" s="31"/>
      <c r="C114" s="18"/>
      <c r="D114" s="18"/>
      <c r="E114" s="18"/>
      <c r="F114" s="18"/>
      <c r="G114" s="19"/>
      <c r="H114" s="29"/>
    </row>
    <row r="115" spans="1:8" ht="12.75" customHeight="1">
      <c r="A115" s="31">
        <v>41949</v>
      </c>
      <c r="B115" s="31"/>
      <c r="C115" s="20">
        <f>ROUND(7.96,5)</f>
        <v>7.96</v>
      </c>
      <c r="D115" s="20">
        <f>F115</f>
        <v>7.95</v>
      </c>
      <c r="E115" s="20">
        <f>F115</f>
        <v>7.95</v>
      </c>
      <c r="F115" s="20">
        <f>ROUND(7.95,5)</f>
        <v>7.95</v>
      </c>
      <c r="G115" s="19"/>
      <c r="H115" s="29"/>
    </row>
    <row r="116" spans="1:8" ht="12.75" customHeight="1">
      <c r="A116" s="31">
        <v>42040</v>
      </c>
      <c r="B116" s="31"/>
      <c r="C116" s="20">
        <f>ROUND(7.96,5)</f>
        <v>7.96</v>
      </c>
      <c r="D116" s="20">
        <f>F116</f>
        <v>8.0197</v>
      </c>
      <c r="E116" s="20">
        <f>F116</f>
        <v>8.0197</v>
      </c>
      <c r="F116" s="20">
        <f>ROUND(8.0197,5)</f>
        <v>8.0197</v>
      </c>
      <c r="G116" s="19"/>
      <c r="H116" s="29"/>
    </row>
    <row r="117" spans="1:8" ht="12.75" customHeight="1">
      <c r="A117" s="31">
        <v>42131</v>
      </c>
      <c r="B117" s="31"/>
      <c r="C117" s="20">
        <f>ROUND(7.96,5)</f>
        <v>7.96</v>
      </c>
      <c r="D117" s="20">
        <f>F117</f>
        <v>8.06115</v>
      </c>
      <c r="E117" s="20">
        <f>F117</f>
        <v>8.06115</v>
      </c>
      <c r="F117" s="20">
        <f>ROUND(8.06115,5)</f>
        <v>8.06115</v>
      </c>
      <c r="G117" s="19"/>
      <c r="H117" s="29"/>
    </row>
    <row r="118" spans="1:8" ht="12.75" customHeight="1">
      <c r="A118" s="31">
        <v>42222</v>
      </c>
      <c r="B118" s="31"/>
      <c r="C118" s="20">
        <f>ROUND(7.96,5)</f>
        <v>7.96</v>
      </c>
      <c r="D118" s="20">
        <f>F118</f>
        <v>8.08418</v>
      </c>
      <c r="E118" s="20">
        <f>F118</f>
        <v>8.08418</v>
      </c>
      <c r="F118" s="20">
        <f>ROUND(8.08418,5)</f>
        <v>8.08418</v>
      </c>
      <c r="G118" s="19"/>
      <c r="H118" s="29"/>
    </row>
    <row r="119" spans="1:8" ht="12.75" customHeight="1">
      <c r="A119" s="31">
        <v>42313</v>
      </c>
      <c r="B119" s="31"/>
      <c r="C119" s="20">
        <f>ROUND(7.96,5)</f>
        <v>7.96</v>
      </c>
      <c r="D119" s="20">
        <f>F119</f>
        <v>8.12297</v>
      </c>
      <c r="E119" s="20">
        <f>F119</f>
        <v>8.12297</v>
      </c>
      <c r="F119" s="20">
        <f>ROUND(8.12297,5)</f>
        <v>8.12297</v>
      </c>
      <c r="G119" s="19"/>
      <c r="H119" s="29"/>
    </row>
    <row r="120" spans="1:8" ht="12.75" customHeight="1">
      <c r="A120" s="31" t="s">
        <v>45</v>
      </c>
      <c r="B120" s="31"/>
      <c r="C120" s="18"/>
      <c r="D120" s="18"/>
      <c r="E120" s="18"/>
      <c r="F120" s="18"/>
      <c r="G120" s="19"/>
      <c r="H120" s="29"/>
    </row>
    <row r="121" spans="1:8" ht="12.75" customHeight="1">
      <c r="A121" s="31">
        <v>41949</v>
      </c>
      <c r="B121" s="31"/>
      <c r="C121" s="20">
        <f>ROUND(1.68,5)</f>
        <v>1.68</v>
      </c>
      <c r="D121" s="20">
        <f>F121</f>
        <v>289.81411</v>
      </c>
      <c r="E121" s="20">
        <f>F121</f>
        <v>289.81411</v>
      </c>
      <c r="F121" s="20">
        <f>ROUND(289.81411,5)</f>
        <v>289.81411</v>
      </c>
      <c r="G121" s="19"/>
      <c r="H121" s="29"/>
    </row>
    <row r="122" spans="1:8" ht="12.75" customHeight="1">
      <c r="A122" s="31">
        <v>42040</v>
      </c>
      <c r="B122" s="31"/>
      <c r="C122" s="20">
        <f>ROUND(1.68,5)</f>
        <v>1.68</v>
      </c>
      <c r="D122" s="20">
        <f>F122</f>
        <v>288.30625</v>
      </c>
      <c r="E122" s="20">
        <f>F122</f>
        <v>288.30625</v>
      </c>
      <c r="F122" s="20">
        <f>ROUND(288.30625,5)</f>
        <v>288.30625</v>
      </c>
      <c r="G122" s="19"/>
      <c r="H122" s="29"/>
    </row>
    <row r="123" spans="1:8" ht="12.75" customHeight="1">
      <c r="A123" s="31">
        <v>42131</v>
      </c>
      <c r="B123" s="31"/>
      <c r="C123" s="20">
        <f>ROUND(1.68,5)</f>
        <v>1.68</v>
      </c>
      <c r="D123" s="20">
        <f>F123</f>
        <v>293.22996</v>
      </c>
      <c r="E123" s="20">
        <f>F123</f>
        <v>293.22996</v>
      </c>
      <c r="F123" s="20">
        <f>ROUND(293.22996,5)</f>
        <v>293.22996</v>
      </c>
      <c r="G123" s="19"/>
      <c r="H123" s="29"/>
    </row>
    <row r="124" spans="1:8" ht="12.75" customHeight="1">
      <c r="A124" s="31">
        <v>42222</v>
      </c>
      <c r="B124" s="31"/>
      <c r="C124" s="20">
        <f>ROUND(1.68,5)</f>
        <v>1.68</v>
      </c>
      <c r="D124" s="20">
        <f>F124</f>
        <v>292.49633</v>
      </c>
      <c r="E124" s="20">
        <f>F124</f>
        <v>292.49633</v>
      </c>
      <c r="F124" s="20">
        <f>ROUND(292.49633,5)</f>
        <v>292.49633</v>
      </c>
      <c r="G124" s="19"/>
      <c r="H124" s="29"/>
    </row>
    <row r="125" spans="1:8" ht="12.75" customHeight="1">
      <c r="A125" s="31">
        <v>42313</v>
      </c>
      <c r="B125" s="31"/>
      <c r="C125" s="20">
        <f>ROUND(1.68,5)</f>
        <v>1.68</v>
      </c>
      <c r="D125" s="20">
        <f>F125</f>
        <v>297.51784</v>
      </c>
      <c r="E125" s="20">
        <f>F125</f>
        <v>297.51784</v>
      </c>
      <c r="F125" s="20">
        <f>ROUND(297.51784,5)</f>
        <v>297.51784</v>
      </c>
      <c r="G125" s="19"/>
      <c r="H125" s="29"/>
    </row>
    <row r="126" spans="1:8" ht="12.75" customHeight="1">
      <c r="A126" s="31" t="s">
        <v>46</v>
      </c>
      <c r="B126" s="31"/>
      <c r="C126" s="18"/>
      <c r="D126" s="18"/>
      <c r="E126" s="18"/>
      <c r="F126" s="18"/>
      <c r="G126" s="19"/>
      <c r="H126" s="29"/>
    </row>
    <row r="127" spans="1:8" ht="12.75" customHeight="1">
      <c r="A127" s="31">
        <v>41949</v>
      </c>
      <c r="B127" s="31"/>
      <c r="C127" s="20">
        <f>ROUND(1.75,5)</f>
        <v>1.75</v>
      </c>
      <c r="D127" s="20">
        <f>F127</f>
        <v>235.48607</v>
      </c>
      <c r="E127" s="20">
        <f>F127</f>
        <v>235.48607</v>
      </c>
      <c r="F127" s="20">
        <f>ROUND(235.48607,5)</f>
        <v>235.48607</v>
      </c>
      <c r="G127" s="19"/>
      <c r="H127" s="29"/>
    </row>
    <row r="128" spans="1:8" ht="12.75" customHeight="1">
      <c r="A128" s="31">
        <v>42040</v>
      </c>
      <c r="B128" s="31"/>
      <c r="C128" s="20">
        <f>ROUND(1.75,5)</f>
        <v>1.75</v>
      </c>
      <c r="D128" s="20">
        <f>F128</f>
        <v>235.95399</v>
      </c>
      <c r="E128" s="20">
        <f>F128</f>
        <v>235.95399</v>
      </c>
      <c r="F128" s="20">
        <f>ROUND(235.95399,5)</f>
        <v>235.95399</v>
      </c>
      <c r="G128" s="19"/>
      <c r="H128" s="29"/>
    </row>
    <row r="129" spans="1:8" ht="12.75" customHeight="1">
      <c r="A129" s="31">
        <v>42131</v>
      </c>
      <c r="B129" s="31"/>
      <c r="C129" s="20">
        <f>ROUND(1.75,5)</f>
        <v>1.75</v>
      </c>
      <c r="D129" s="20">
        <f>F129</f>
        <v>239.98304</v>
      </c>
      <c r="E129" s="20">
        <f>F129</f>
        <v>239.98304</v>
      </c>
      <c r="F129" s="20">
        <f>ROUND(239.98304,5)</f>
        <v>239.98304</v>
      </c>
      <c r="G129" s="19"/>
      <c r="H129" s="29"/>
    </row>
    <row r="130" spans="1:8" ht="12.75" customHeight="1">
      <c r="A130" s="31">
        <v>42222</v>
      </c>
      <c r="B130" s="31"/>
      <c r="C130" s="20">
        <f>ROUND(1.75,5)</f>
        <v>1.75</v>
      </c>
      <c r="D130" s="20">
        <f>F130</f>
        <v>241.16087</v>
      </c>
      <c r="E130" s="20">
        <f>F130</f>
        <v>241.16087</v>
      </c>
      <c r="F130" s="20">
        <f>ROUND(241.16087,5)</f>
        <v>241.16087</v>
      </c>
      <c r="G130" s="19"/>
      <c r="H130" s="29"/>
    </row>
    <row r="131" spans="1:8" ht="12.75" customHeight="1">
      <c r="A131" s="31">
        <v>42313</v>
      </c>
      <c r="B131" s="31"/>
      <c r="C131" s="20">
        <f>ROUND(1.75,5)</f>
        <v>1.75</v>
      </c>
      <c r="D131" s="20">
        <f>F131</f>
        <v>245.30134</v>
      </c>
      <c r="E131" s="20">
        <f>F131</f>
        <v>245.30134</v>
      </c>
      <c r="F131" s="20">
        <f>ROUND(245.30134,5)</f>
        <v>245.30134</v>
      </c>
      <c r="G131" s="19"/>
      <c r="H131" s="29"/>
    </row>
    <row r="132" spans="1:8" ht="12.75" customHeight="1">
      <c r="A132" s="31" t="s">
        <v>47</v>
      </c>
      <c r="B132" s="31"/>
      <c r="C132" s="18"/>
      <c r="D132" s="18"/>
      <c r="E132" s="18"/>
      <c r="F132" s="18"/>
      <c r="G132" s="19"/>
      <c r="H132" s="29"/>
    </row>
    <row r="133" spans="1:8" ht="12.75" customHeight="1">
      <c r="A133" s="31">
        <v>41949</v>
      </c>
      <c r="B133" s="31"/>
      <c r="C133" s="20">
        <f>ROUND(6.76,5)</f>
        <v>6.76</v>
      </c>
      <c r="D133" s="20">
        <f>F133</f>
        <v>6.745</v>
      </c>
      <c r="E133" s="20">
        <f>F133</f>
        <v>6.745</v>
      </c>
      <c r="F133" s="20">
        <f>ROUND(6.745,5)</f>
        <v>6.745</v>
      </c>
      <c r="G133" s="19"/>
      <c r="H133" s="29"/>
    </row>
    <row r="134" spans="1:8" ht="12.75" customHeight="1">
      <c r="A134" s="31">
        <v>42040</v>
      </c>
      <c r="B134" s="31"/>
      <c r="C134" s="20">
        <f>ROUND(6.76,5)</f>
        <v>6.76</v>
      </c>
      <c r="D134" s="20">
        <f>F134</f>
        <v>6.82241</v>
      </c>
      <c r="E134" s="20">
        <f>F134</f>
        <v>6.82241</v>
      </c>
      <c r="F134" s="20">
        <f>ROUND(6.82241,5)</f>
        <v>6.82241</v>
      </c>
      <c r="G134" s="19"/>
      <c r="H134" s="29"/>
    </row>
    <row r="135" spans="1:8" ht="12.75" customHeight="1">
      <c r="A135" s="31">
        <v>42131</v>
      </c>
      <c r="B135" s="31"/>
      <c r="C135" s="20">
        <f>ROUND(6.76,5)</f>
        <v>6.76</v>
      </c>
      <c r="D135" s="20">
        <f>F135</f>
        <v>6.81588</v>
      </c>
      <c r="E135" s="20">
        <f>F135</f>
        <v>6.81588</v>
      </c>
      <c r="F135" s="20">
        <f>ROUND(6.81588,5)</f>
        <v>6.81588</v>
      </c>
      <c r="G135" s="19"/>
      <c r="H135" s="29"/>
    </row>
    <row r="136" spans="1:8" ht="12.75" customHeight="1">
      <c r="A136" s="31">
        <v>42222</v>
      </c>
      <c r="B136" s="31"/>
      <c r="C136" s="20">
        <f>ROUND(6.76,5)</f>
        <v>6.76</v>
      </c>
      <c r="D136" s="20">
        <f>F136</f>
        <v>6.72937</v>
      </c>
      <c r="E136" s="20">
        <f>F136</f>
        <v>6.72937</v>
      </c>
      <c r="F136" s="20">
        <f>ROUND(6.72937,5)</f>
        <v>6.72937</v>
      </c>
      <c r="G136" s="19"/>
      <c r="H136" s="29"/>
    </row>
    <row r="137" spans="1:8" ht="12.75" customHeight="1">
      <c r="A137" s="31">
        <v>42313</v>
      </c>
      <c r="B137" s="31"/>
      <c r="C137" s="20">
        <f>ROUND(6.76,5)</f>
        <v>6.76</v>
      </c>
      <c r="D137" s="20">
        <f>F137</f>
        <v>6.69232</v>
      </c>
      <c r="E137" s="20">
        <f>F137</f>
        <v>6.69232</v>
      </c>
      <c r="F137" s="20">
        <f>ROUND(6.69232,5)</f>
        <v>6.69232</v>
      </c>
      <c r="G137" s="19"/>
      <c r="H137" s="29"/>
    </row>
    <row r="138" spans="1:8" ht="12.75" customHeight="1">
      <c r="A138" s="31" t="s">
        <v>48</v>
      </c>
      <c r="B138" s="31"/>
      <c r="C138" s="18"/>
      <c r="D138" s="18"/>
      <c r="E138" s="18"/>
      <c r="F138" s="18"/>
      <c r="G138" s="19"/>
      <c r="H138" s="29"/>
    </row>
    <row r="139" spans="1:8" ht="12.75" customHeight="1">
      <c r="A139" s="31">
        <v>41949</v>
      </c>
      <c r="B139" s="31"/>
      <c r="C139" s="20">
        <f>ROUND(7.06,5)</f>
        <v>7.06</v>
      </c>
      <c r="D139" s="20">
        <f>F139</f>
        <v>7.055</v>
      </c>
      <c r="E139" s="20">
        <f>F139</f>
        <v>7.055</v>
      </c>
      <c r="F139" s="20">
        <f>ROUND(7.055,5)</f>
        <v>7.055</v>
      </c>
      <c r="G139" s="19"/>
      <c r="H139" s="29"/>
    </row>
    <row r="140" spans="1:8" ht="12.75" customHeight="1">
      <c r="A140" s="31">
        <v>42040</v>
      </c>
      <c r="B140" s="31"/>
      <c r="C140" s="20">
        <f>ROUND(7.06,5)</f>
        <v>7.06</v>
      </c>
      <c r="D140" s="20">
        <f>F140</f>
        <v>7.12217</v>
      </c>
      <c r="E140" s="20">
        <f>F140</f>
        <v>7.12217</v>
      </c>
      <c r="F140" s="20">
        <f>ROUND(7.12217,5)</f>
        <v>7.12217</v>
      </c>
      <c r="G140" s="19"/>
      <c r="H140" s="29"/>
    </row>
    <row r="141" spans="1:8" ht="12.75" customHeight="1">
      <c r="A141" s="31">
        <v>42131</v>
      </c>
      <c r="B141" s="31"/>
      <c r="C141" s="20">
        <f>ROUND(7.06,5)</f>
        <v>7.06</v>
      </c>
      <c r="D141" s="20">
        <f>F141</f>
        <v>7.14454</v>
      </c>
      <c r="E141" s="20">
        <f>F141</f>
        <v>7.14454</v>
      </c>
      <c r="F141" s="20">
        <f>ROUND(7.14454,5)</f>
        <v>7.14454</v>
      </c>
      <c r="G141" s="19"/>
      <c r="H141" s="29"/>
    </row>
    <row r="142" spans="1:8" ht="12.75" customHeight="1">
      <c r="A142" s="31">
        <v>42222</v>
      </c>
      <c r="B142" s="31"/>
      <c r="C142" s="20">
        <f>ROUND(7.06,5)</f>
        <v>7.06</v>
      </c>
      <c r="D142" s="20">
        <f>F142</f>
        <v>7.12112</v>
      </c>
      <c r="E142" s="20">
        <f>F142</f>
        <v>7.12112</v>
      </c>
      <c r="F142" s="20">
        <f>ROUND(7.12112,5)</f>
        <v>7.12112</v>
      </c>
      <c r="G142" s="19"/>
      <c r="H142" s="29"/>
    </row>
    <row r="143" spans="1:8" ht="12.75" customHeight="1">
      <c r="A143" s="31">
        <v>42313</v>
      </c>
      <c r="B143" s="31"/>
      <c r="C143" s="20">
        <f>ROUND(7.06,5)</f>
        <v>7.06</v>
      </c>
      <c r="D143" s="20">
        <f>F143</f>
        <v>7.13234</v>
      </c>
      <c r="E143" s="20">
        <f>F143</f>
        <v>7.13234</v>
      </c>
      <c r="F143" s="20">
        <f>ROUND(7.13234,5)</f>
        <v>7.13234</v>
      </c>
      <c r="G143" s="19"/>
      <c r="H143" s="29"/>
    </row>
    <row r="144" spans="1:8" ht="12.75" customHeight="1">
      <c r="A144" s="31" t="s">
        <v>49</v>
      </c>
      <c r="B144" s="31"/>
      <c r="C144" s="18"/>
      <c r="D144" s="18"/>
      <c r="E144" s="18"/>
      <c r="F144" s="18"/>
      <c r="G144" s="19"/>
      <c r="H144" s="29"/>
    </row>
    <row r="145" spans="1:8" ht="12.75" customHeight="1">
      <c r="A145" s="31">
        <v>41949</v>
      </c>
      <c r="B145" s="31"/>
      <c r="C145" s="20">
        <f>ROUND(7.27,5)</f>
        <v>7.27</v>
      </c>
      <c r="D145" s="20">
        <f>F145</f>
        <v>7.255</v>
      </c>
      <c r="E145" s="20">
        <f>F145</f>
        <v>7.255</v>
      </c>
      <c r="F145" s="20">
        <f>ROUND(7.255,5)</f>
        <v>7.255</v>
      </c>
      <c r="G145" s="19"/>
      <c r="H145" s="29"/>
    </row>
    <row r="146" spans="1:8" ht="12.75" customHeight="1">
      <c r="A146" s="31">
        <v>42040</v>
      </c>
      <c r="B146" s="31"/>
      <c r="C146" s="20">
        <f>ROUND(7.27,5)</f>
        <v>7.27</v>
      </c>
      <c r="D146" s="20">
        <f>F146</f>
        <v>7.33129</v>
      </c>
      <c r="E146" s="20">
        <f>F146</f>
        <v>7.33129</v>
      </c>
      <c r="F146" s="20">
        <f>ROUND(7.33129,5)</f>
        <v>7.33129</v>
      </c>
      <c r="G146" s="19"/>
      <c r="H146" s="29"/>
    </row>
    <row r="147" spans="1:8" ht="12.75" customHeight="1">
      <c r="A147" s="31">
        <v>42131</v>
      </c>
      <c r="B147" s="31"/>
      <c r="C147" s="20">
        <f>ROUND(7.27,5)</f>
        <v>7.27</v>
      </c>
      <c r="D147" s="20">
        <f>F147</f>
        <v>7.36462</v>
      </c>
      <c r="E147" s="20">
        <f>F147</f>
        <v>7.36462</v>
      </c>
      <c r="F147" s="20">
        <f>ROUND(7.36462,5)</f>
        <v>7.36462</v>
      </c>
      <c r="G147" s="19"/>
      <c r="H147" s="29"/>
    </row>
    <row r="148" spans="1:8" ht="12.75" customHeight="1">
      <c r="A148" s="31">
        <v>42222</v>
      </c>
      <c r="B148" s="31"/>
      <c r="C148" s="20">
        <f>ROUND(7.27,5)</f>
        <v>7.27</v>
      </c>
      <c r="D148" s="20">
        <f>F148</f>
        <v>7.36312</v>
      </c>
      <c r="E148" s="20">
        <f>F148</f>
        <v>7.36312</v>
      </c>
      <c r="F148" s="20">
        <f>ROUND(7.36312,5)</f>
        <v>7.36312</v>
      </c>
      <c r="G148" s="19"/>
      <c r="H148" s="29"/>
    </row>
    <row r="149" spans="1:8" ht="12.75" customHeight="1">
      <c r="A149" s="31">
        <v>42313</v>
      </c>
      <c r="B149" s="31"/>
      <c r="C149" s="20">
        <f>ROUND(7.27,5)</f>
        <v>7.27</v>
      </c>
      <c r="D149" s="20">
        <f>F149</f>
        <v>7.38547</v>
      </c>
      <c r="E149" s="20">
        <f>F149</f>
        <v>7.38547</v>
      </c>
      <c r="F149" s="20">
        <f>ROUND(7.38547,5)</f>
        <v>7.38547</v>
      </c>
      <c r="G149" s="19"/>
      <c r="H149" s="29"/>
    </row>
    <row r="150" spans="1:8" ht="12.75" customHeight="1">
      <c r="A150" s="31" t="s">
        <v>50</v>
      </c>
      <c r="B150" s="31"/>
      <c r="C150" s="18"/>
      <c r="D150" s="18"/>
      <c r="E150" s="18"/>
      <c r="F150" s="18"/>
      <c r="G150" s="19"/>
      <c r="H150" s="29"/>
    </row>
    <row r="151" spans="1:8" ht="12.75" customHeight="1">
      <c r="A151" s="31">
        <v>41949</v>
      </c>
      <c r="B151" s="31"/>
      <c r="C151" s="20">
        <f>ROUND(7.44,5)</f>
        <v>7.44</v>
      </c>
      <c r="D151" s="20">
        <f>F151</f>
        <v>7.43</v>
      </c>
      <c r="E151" s="20">
        <f>F151</f>
        <v>7.43</v>
      </c>
      <c r="F151" s="20">
        <f>ROUND(7.43,5)</f>
        <v>7.43</v>
      </c>
      <c r="G151" s="19"/>
      <c r="H151" s="29"/>
    </row>
    <row r="152" spans="1:8" ht="12.75" customHeight="1">
      <c r="A152" s="31">
        <v>42040</v>
      </c>
      <c r="B152" s="31"/>
      <c r="C152" s="20">
        <f>ROUND(7.44,5)</f>
        <v>7.44</v>
      </c>
      <c r="D152" s="20">
        <f>F152</f>
        <v>7.50144</v>
      </c>
      <c r="E152" s="20">
        <f>F152</f>
        <v>7.50144</v>
      </c>
      <c r="F152" s="20">
        <f>ROUND(7.50144,5)</f>
        <v>7.50144</v>
      </c>
      <c r="G152" s="19"/>
      <c r="H152" s="29"/>
    </row>
    <row r="153" spans="1:8" ht="12.75" customHeight="1">
      <c r="A153" s="31">
        <v>42131</v>
      </c>
      <c r="B153" s="31"/>
      <c r="C153" s="20">
        <f>ROUND(7.44,5)</f>
        <v>7.44</v>
      </c>
      <c r="D153" s="20">
        <f>F153</f>
        <v>7.5348</v>
      </c>
      <c r="E153" s="20">
        <f>F153</f>
        <v>7.5348</v>
      </c>
      <c r="F153" s="20">
        <f>ROUND(7.5348,5)</f>
        <v>7.5348</v>
      </c>
      <c r="G153" s="19"/>
      <c r="H153" s="29"/>
    </row>
    <row r="154" spans="1:8" ht="12.75" customHeight="1">
      <c r="A154" s="31">
        <v>42222</v>
      </c>
      <c r="B154" s="31"/>
      <c r="C154" s="20">
        <f>ROUND(7.44,5)</f>
        <v>7.44</v>
      </c>
      <c r="D154" s="20">
        <f>F154</f>
        <v>7.54021</v>
      </c>
      <c r="E154" s="20">
        <f>F154</f>
        <v>7.54021</v>
      </c>
      <c r="F154" s="20">
        <f>ROUND(7.54021,5)</f>
        <v>7.54021</v>
      </c>
      <c r="G154" s="19"/>
      <c r="H154" s="29"/>
    </row>
    <row r="155" spans="1:8" ht="12.75" customHeight="1">
      <c r="A155" s="31">
        <v>42313</v>
      </c>
      <c r="B155" s="31"/>
      <c r="C155" s="20">
        <f>ROUND(7.44,5)</f>
        <v>7.44</v>
      </c>
      <c r="D155" s="20">
        <f>F155</f>
        <v>7.57019</v>
      </c>
      <c r="E155" s="20">
        <f>F155</f>
        <v>7.57019</v>
      </c>
      <c r="F155" s="20">
        <f>ROUND(7.57019,5)</f>
        <v>7.57019</v>
      </c>
      <c r="G155" s="19"/>
      <c r="H155" s="29"/>
    </row>
    <row r="156" spans="1:8" ht="12.75" customHeight="1">
      <c r="A156" s="31" t="s">
        <v>51</v>
      </c>
      <c r="B156" s="31"/>
      <c r="C156" s="18"/>
      <c r="D156" s="18"/>
      <c r="E156" s="18"/>
      <c r="F156" s="18"/>
      <c r="G156" s="19"/>
      <c r="H156" s="29"/>
    </row>
    <row r="157" spans="1:8" ht="12.75" customHeight="1">
      <c r="A157" s="31">
        <v>41949</v>
      </c>
      <c r="B157" s="31"/>
      <c r="C157" s="20">
        <f>ROUND(8.585,5)</f>
        <v>8.585</v>
      </c>
      <c r="D157" s="20">
        <f>F157</f>
        <v>8.575</v>
      </c>
      <c r="E157" s="20">
        <f>F157</f>
        <v>8.575</v>
      </c>
      <c r="F157" s="20">
        <f>ROUND(8.575,5)</f>
        <v>8.575</v>
      </c>
      <c r="G157" s="19"/>
      <c r="H157" s="29"/>
    </row>
    <row r="158" spans="1:8" ht="12.75" customHeight="1">
      <c r="A158" s="31">
        <v>42040</v>
      </c>
      <c r="B158" s="31"/>
      <c r="C158" s="20">
        <f>ROUND(8.585,5)</f>
        <v>8.585</v>
      </c>
      <c r="D158" s="20">
        <f>F158</f>
        <v>8.64201</v>
      </c>
      <c r="E158" s="20">
        <f>F158</f>
        <v>8.64201</v>
      </c>
      <c r="F158" s="20">
        <f>ROUND(8.64201,5)</f>
        <v>8.64201</v>
      </c>
      <c r="G158" s="19"/>
      <c r="H158" s="29"/>
    </row>
    <row r="159" spans="1:8" ht="12.75" customHeight="1">
      <c r="A159" s="31">
        <v>42131</v>
      </c>
      <c r="B159" s="31"/>
      <c r="C159" s="20">
        <f>ROUND(8.585,5)</f>
        <v>8.585</v>
      </c>
      <c r="D159" s="20">
        <f>F159</f>
        <v>8.68515</v>
      </c>
      <c r="E159" s="20">
        <f>F159</f>
        <v>8.68515</v>
      </c>
      <c r="F159" s="20">
        <f>ROUND(8.68515,5)</f>
        <v>8.68515</v>
      </c>
      <c r="G159" s="19"/>
      <c r="H159" s="29"/>
    </row>
    <row r="160" spans="1:8" ht="12.75" customHeight="1">
      <c r="A160" s="31">
        <v>42222</v>
      </c>
      <c r="B160" s="31"/>
      <c r="C160" s="20">
        <f>ROUND(8.585,5)</f>
        <v>8.585</v>
      </c>
      <c r="D160" s="20">
        <f>F160</f>
        <v>8.71571</v>
      </c>
      <c r="E160" s="20">
        <f>F160</f>
        <v>8.71571</v>
      </c>
      <c r="F160" s="20">
        <f>ROUND(8.71571,5)</f>
        <v>8.71571</v>
      </c>
      <c r="G160" s="19"/>
      <c r="H160" s="29"/>
    </row>
    <row r="161" spans="1:8" ht="12.75" customHeight="1">
      <c r="A161" s="31">
        <v>42313</v>
      </c>
      <c r="B161" s="31"/>
      <c r="C161" s="20">
        <f>ROUND(8.585,5)</f>
        <v>8.585</v>
      </c>
      <c r="D161" s="20">
        <f>F161</f>
        <v>8.75726</v>
      </c>
      <c r="E161" s="20">
        <f>F161</f>
        <v>8.75726</v>
      </c>
      <c r="F161" s="20">
        <f>ROUND(8.75726,5)</f>
        <v>8.75726</v>
      </c>
      <c r="G161" s="19"/>
      <c r="H161" s="29"/>
    </row>
    <row r="162" spans="1:8" ht="12.75" customHeight="1">
      <c r="A162" s="31" t="s">
        <v>52</v>
      </c>
      <c r="B162" s="31"/>
      <c r="C162" s="18"/>
      <c r="D162" s="18"/>
      <c r="E162" s="18"/>
      <c r="F162" s="18"/>
      <c r="G162" s="19"/>
      <c r="H162" s="29"/>
    </row>
    <row r="163" spans="1:8" ht="12.75" customHeight="1">
      <c r="A163" s="31">
        <v>41949</v>
      </c>
      <c r="B163" s="31"/>
      <c r="C163" s="20">
        <f>ROUND(1.72,5)</f>
        <v>1.72</v>
      </c>
      <c r="D163" s="20">
        <f>F163</f>
        <v>174.09505</v>
      </c>
      <c r="E163" s="20">
        <f>F163</f>
        <v>174.09505</v>
      </c>
      <c r="F163" s="20">
        <f>ROUND(174.09505,5)</f>
        <v>174.09505</v>
      </c>
      <c r="G163" s="19"/>
      <c r="H163" s="29"/>
    </row>
    <row r="164" spans="1:8" ht="12.75" customHeight="1">
      <c r="A164" s="31">
        <v>42040</v>
      </c>
      <c r="B164" s="31"/>
      <c r="C164" s="20">
        <f>ROUND(1.72,5)</f>
        <v>1.72</v>
      </c>
      <c r="D164" s="20">
        <f>F164</f>
        <v>176.80347</v>
      </c>
      <c r="E164" s="20">
        <f>F164</f>
        <v>176.80347</v>
      </c>
      <c r="F164" s="20">
        <f>ROUND(176.80347,5)</f>
        <v>176.80347</v>
      </c>
      <c r="G164" s="19"/>
      <c r="H164" s="29"/>
    </row>
    <row r="165" spans="1:8" ht="12.75" customHeight="1">
      <c r="A165" s="31">
        <v>42131</v>
      </c>
      <c r="B165" s="31"/>
      <c r="C165" s="20">
        <f>ROUND(1.72,5)</f>
        <v>1.72</v>
      </c>
      <c r="D165" s="20">
        <f>F165</f>
        <v>177.73515</v>
      </c>
      <c r="E165" s="20">
        <f>F165</f>
        <v>177.73515</v>
      </c>
      <c r="F165" s="20">
        <f>ROUND(177.73515,5)</f>
        <v>177.73515</v>
      </c>
      <c r="G165" s="19"/>
      <c r="H165" s="29"/>
    </row>
    <row r="166" spans="1:8" ht="12.75" customHeight="1">
      <c r="A166" s="31">
        <v>42222</v>
      </c>
      <c r="B166" s="31"/>
      <c r="C166" s="20">
        <f>ROUND(1.72,5)</f>
        <v>1.72</v>
      </c>
      <c r="D166" s="20">
        <f>F166</f>
        <v>181.04406</v>
      </c>
      <c r="E166" s="20">
        <f>F166</f>
        <v>181.04406</v>
      </c>
      <c r="F166" s="20">
        <f>ROUND(181.04406,5)</f>
        <v>181.04406</v>
      </c>
      <c r="G166" s="19"/>
      <c r="H166" s="29"/>
    </row>
    <row r="167" spans="1:8" ht="12.75" customHeight="1">
      <c r="A167" s="31">
        <v>42313</v>
      </c>
      <c r="B167" s="31"/>
      <c r="C167" s="20">
        <f>ROUND(1.72,5)</f>
        <v>1.72</v>
      </c>
      <c r="D167" s="20">
        <f>F167</f>
        <v>184.15258</v>
      </c>
      <c r="E167" s="20">
        <f>F167</f>
        <v>184.15258</v>
      </c>
      <c r="F167" s="20">
        <f>ROUND(184.15258,5)</f>
        <v>184.15258</v>
      </c>
      <c r="G167" s="19"/>
      <c r="H167" s="29"/>
    </row>
    <row r="168" spans="1:8" ht="12.75" customHeight="1">
      <c r="A168" s="31" t="s">
        <v>53</v>
      </c>
      <c r="B168" s="31"/>
      <c r="C168" s="18"/>
      <c r="D168" s="18"/>
      <c r="E168" s="18"/>
      <c r="F168" s="18"/>
      <c r="G168" s="19"/>
      <c r="H168" s="29"/>
    </row>
    <row r="169" spans="1:8" ht="12.75" customHeight="1">
      <c r="A169" s="31">
        <v>41949</v>
      </c>
      <c r="B169" s="31"/>
      <c r="C169" s="20">
        <f>ROUND(0.83,5)</f>
        <v>0.83</v>
      </c>
      <c r="D169" s="20">
        <f>F169</f>
        <v>132.58191</v>
      </c>
      <c r="E169" s="20">
        <f>F169</f>
        <v>132.58191</v>
      </c>
      <c r="F169" s="20">
        <f>ROUND(132.58191,5)</f>
        <v>132.58191</v>
      </c>
      <c r="G169" s="19"/>
      <c r="H169" s="29"/>
    </row>
    <row r="170" spans="1:8" ht="12.75" customHeight="1">
      <c r="A170" s="31">
        <v>42040</v>
      </c>
      <c r="B170" s="31"/>
      <c r="C170" s="20">
        <f>ROUND(0.83,5)</f>
        <v>0.83</v>
      </c>
      <c r="D170" s="20">
        <f>F170</f>
        <v>133.03855</v>
      </c>
      <c r="E170" s="20">
        <f>F170</f>
        <v>133.03855</v>
      </c>
      <c r="F170" s="20">
        <f>ROUND(133.03855,5)</f>
        <v>133.03855</v>
      </c>
      <c r="G170" s="19"/>
      <c r="H170" s="29"/>
    </row>
    <row r="171" spans="1:8" ht="12.75" customHeight="1">
      <c r="A171" s="31">
        <v>42131</v>
      </c>
      <c r="B171" s="31"/>
      <c r="C171" s="20">
        <f>ROUND(0.83,5)</f>
        <v>0.83</v>
      </c>
      <c r="D171" s="20">
        <f>F171</f>
        <v>135.31098</v>
      </c>
      <c r="E171" s="20">
        <f>F171</f>
        <v>135.31098</v>
      </c>
      <c r="F171" s="20">
        <f>ROUND(135.31098,5)</f>
        <v>135.31098</v>
      </c>
      <c r="G171" s="19"/>
      <c r="H171" s="29"/>
    </row>
    <row r="172" spans="1:8" ht="12.75" customHeight="1">
      <c r="A172" s="31">
        <v>42222</v>
      </c>
      <c r="B172" s="31"/>
      <c r="C172" s="20">
        <f>ROUND(0.83,5)</f>
        <v>0.83</v>
      </c>
      <c r="D172" s="20">
        <f>F172</f>
        <v>137.7762</v>
      </c>
      <c r="E172" s="20">
        <f>F172</f>
        <v>137.7762</v>
      </c>
      <c r="F172" s="20">
        <f>ROUND(137.7762,5)</f>
        <v>137.7762</v>
      </c>
      <c r="G172" s="19"/>
      <c r="H172" s="29"/>
    </row>
    <row r="173" spans="1:8" ht="12.75" customHeight="1">
      <c r="A173" s="31">
        <v>42313</v>
      </c>
      <c r="B173" s="31"/>
      <c r="C173" s="20">
        <f>ROUND(0.83,5)</f>
        <v>0.83</v>
      </c>
      <c r="D173" s="20">
        <f>F173</f>
        <v>140.14186</v>
      </c>
      <c r="E173" s="20">
        <f>F173</f>
        <v>140.14186</v>
      </c>
      <c r="F173" s="20">
        <f>ROUND(140.14186,5)</f>
        <v>140.14186</v>
      </c>
      <c r="G173" s="19"/>
      <c r="H173" s="29"/>
    </row>
    <row r="174" spans="1:8" ht="12.75" customHeight="1">
      <c r="A174" s="31" t="s">
        <v>54</v>
      </c>
      <c r="B174" s="31"/>
      <c r="C174" s="18"/>
      <c r="D174" s="18"/>
      <c r="E174" s="18"/>
      <c r="F174" s="18"/>
      <c r="G174" s="19"/>
      <c r="H174" s="29"/>
    </row>
    <row r="175" spans="1:8" ht="12.75" customHeight="1">
      <c r="A175" s="31">
        <v>41949</v>
      </c>
      <c r="B175" s="31"/>
      <c r="C175" s="20">
        <f>ROUND(1.61,5)</f>
        <v>1.61</v>
      </c>
      <c r="D175" s="20">
        <f>F175</f>
        <v>137.54784</v>
      </c>
      <c r="E175" s="20">
        <f>F175</f>
        <v>137.54784</v>
      </c>
      <c r="F175" s="20">
        <f>ROUND(137.54784,5)</f>
        <v>137.54784</v>
      </c>
      <c r="G175" s="19"/>
      <c r="H175" s="29"/>
    </row>
    <row r="176" spans="1:8" ht="12.75" customHeight="1">
      <c r="A176" s="31">
        <v>42040</v>
      </c>
      <c r="B176" s="31"/>
      <c r="C176" s="20">
        <f>ROUND(1.61,5)</f>
        <v>1.61</v>
      </c>
      <c r="D176" s="20">
        <f>F176</f>
        <v>137.92498</v>
      </c>
      <c r="E176" s="20">
        <f>F176</f>
        <v>137.92498</v>
      </c>
      <c r="F176" s="20">
        <f>ROUND(137.92498,5)</f>
        <v>137.92498</v>
      </c>
      <c r="G176" s="19"/>
      <c r="H176" s="29"/>
    </row>
    <row r="177" spans="1:8" ht="12.75" customHeight="1">
      <c r="A177" s="31">
        <v>42131</v>
      </c>
      <c r="B177" s="31"/>
      <c r="C177" s="20">
        <f>ROUND(1.61,5)</f>
        <v>1.61</v>
      </c>
      <c r="D177" s="20">
        <f>F177</f>
        <v>140.28091</v>
      </c>
      <c r="E177" s="20">
        <f>F177</f>
        <v>140.28091</v>
      </c>
      <c r="F177" s="20">
        <f>ROUND(140.28091,5)</f>
        <v>140.28091</v>
      </c>
      <c r="G177" s="19"/>
      <c r="H177" s="29"/>
    </row>
    <row r="178" spans="1:8" ht="12.75" customHeight="1">
      <c r="A178" s="31">
        <v>42222</v>
      </c>
      <c r="B178" s="31"/>
      <c r="C178" s="20">
        <f>ROUND(1.61,5)</f>
        <v>1.61</v>
      </c>
      <c r="D178" s="20">
        <f>F178</f>
        <v>142.83347</v>
      </c>
      <c r="E178" s="20">
        <f>F178</f>
        <v>142.83347</v>
      </c>
      <c r="F178" s="20">
        <f>ROUND(142.83347,5)</f>
        <v>142.83347</v>
      </c>
      <c r="G178" s="19"/>
      <c r="H178" s="29"/>
    </row>
    <row r="179" spans="1:8" ht="12.75" customHeight="1">
      <c r="A179" s="31">
        <v>42313</v>
      </c>
      <c r="B179" s="31"/>
      <c r="C179" s="20">
        <f>ROUND(1.61,5)</f>
        <v>1.61</v>
      </c>
      <c r="D179" s="20">
        <f>F179</f>
        <v>145.28596</v>
      </c>
      <c r="E179" s="20">
        <f>F179</f>
        <v>145.28596</v>
      </c>
      <c r="F179" s="20">
        <f>ROUND(145.28596,5)</f>
        <v>145.28596</v>
      </c>
      <c r="G179" s="19"/>
      <c r="H179" s="29"/>
    </row>
    <row r="180" spans="1:8" ht="12.75" customHeight="1">
      <c r="A180" s="31" t="s">
        <v>55</v>
      </c>
      <c r="B180" s="31"/>
      <c r="C180" s="18"/>
      <c r="D180" s="18"/>
      <c r="E180" s="18"/>
      <c r="F180" s="18"/>
      <c r="G180" s="19"/>
      <c r="H180" s="29"/>
    </row>
    <row r="181" spans="1:8" ht="12.75" customHeight="1">
      <c r="A181" s="31">
        <v>41949</v>
      </c>
      <c r="B181" s="31"/>
      <c r="C181" s="20">
        <f>ROUND(8.425,5)</f>
        <v>8.425</v>
      </c>
      <c r="D181" s="20">
        <f>F181</f>
        <v>8.415</v>
      </c>
      <c r="E181" s="20">
        <f>F181</f>
        <v>8.415</v>
      </c>
      <c r="F181" s="20">
        <f>ROUND(8.415,5)</f>
        <v>8.415</v>
      </c>
      <c r="G181" s="19"/>
      <c r="H181" s="29"/>
    </row>
    <row r="182" spans="1:8" ht="12.75" customHeight="1">
      <c r="A182" s="31">
        <v>42040</v>
      </c>
      <c r="B182" s="31"/>
      <c r="C182" s="20">
        <f>ROUND(8.425,5)</f>
        <v>8.425</v>
      </c>
      <c r="D182" s="20">
        <f>F182</f>
        <v>8.48719</v>
      </c>
      <c r="E182" s="20">
        <f>F182</f>
        <v>8.48719</v>
      </c>
      <c r="F182" s="20">
        <f>ROUND(8.48719,5)</f>
        <v>8.48719</v>
      </c>
      <c r="G182" s="19"/>
      <c r="H182" s="29"/>
    </row>
    <row r="183" spans="1:8" ht="12.75" customHeight="1">
      <c r="A183" s="31">
        <v>42131</v>
      </c>
      <c r="B183" s="31"/>
      <c r="C183" s="20">
        <f>ROUND(8.425,5)</f>
        <v>8.425</v>
      </c>
      <c r="D183" s="20">
        <f>F183</f>
        <v>8.53052</v>
      </c>
      <c r="E183" s="20">
        <f>F183</f>
        <v>8.53052</v>
      </c>
      <c r="F183" s="20">
        <f>ROUND(8.53052,5)</f>
        <v>8.53052</v>
      </c>
      <c r="G183" s="19"/>
      <c r="H183" s="29"/>
    </row>
    <row r="184" spans="1:8" ht="12.75" customHeight="1">
      <c r="A184" s="31">
        <v>42222</v>
      </c>
      <c r="B184" s="31"/>
      <c r="C184" s="20">
        <f>ROUND(8.425,5)</f>
        <v>8.425</v>
      </c>
      <c r="D184" s="20">
        <f>F184</f>
        <v>8.56012</v>
      </c>
      <c r="E184" s="20">
        <f>F184</f>
        <v>8.56012</v>
      </c>
      <c r="F184" s="20">
        <f>ROUND(8.56012,5)</f>
        <v>8.56012</v>
      </c>
      <c r="G184" s="19"/>
      <c r="H184" s="29"/>
    </row>
    <row r="185" spans="1:8" ht="12.75" customHeight="1">
      <c r="A185" s="31">
        <v>42313</v>
      </c>
      <c r="B185" s="31"/>
      <c r="C185" s="20">
        <f>ROUND(8.425,5)</f>
        <v>8.425</v>
      </c>
      <c r="D185" s="20">
        <f>F185</f>
        <v>8.60502</v>
      </c>
      <c r="E185" s="20">
        <f>F185</f>
        <v>8.60502</v>
      </c>
      <c r="F185" s="20">
        <f>ROUND(8.60502,5)</f>
        <v>8.60502</v>
      </c>
      <c r="G185" s="19"/>
      <c r="H185" s="29"/>
    </row>
    <row r="186" spans="1:8" ht="12.75" customHeight="1">
      <c r="A186" s="31" t="s">
        <v>56</v>
      </c>
      <c r="B186" s="31"/>
      <c r="C186" s="18"/>
      <c r="D186" s="18"/>
      <c r="E186" s="18"/>
      <c r="F186" s="18"/>
      <c r="G186" s="19"/>
      <c r="H186" s="29"/>
    </row>
    <row r="187" spans="1:8" ht="12.75" customHeight="1">
      <c r="A187" s="31">
        <v>41949</v>
      </c>
      <c r="B187" s="31"/>
      <c r="C187" s="20">
        <f>ROUND(8.685,5)</f>
        <v>8.685</v>
      </c>
      <c r="D187" s="20">
        <f>F187</f>
        <v>8.675</v>
      </c>
      <c r="E187" s="20">
        <f>F187</f>
        <v>8.675</v>
      </c>
      <c r="F187" s="20">
        <f>ROUND(8.675,5)</f>
        <v>8.675</v>
      </c>
      <c r="G187" s="19"/>
      <c r="H187" s="29"/>
    </row>
    <row r="188" spans="1:8" ht="12.75" customHeight="1">
      <c r="A188" s="31">
        <v>42040</v>
      </c>
      <c r="B188" s="31"/>
      <c r="C188" s="20">
        <f>ROUND(8.685,5)</f>
        <v>8.685</v>
      </c>
      <c r="D188" s="20">
        <f>F188</f>
        <v>8.74343</v>
      </c>
      <c r="E188" s="20">
        <f>F188</f>
        <v>8.74343</v>
      </c>
      <c r="F188" s="20">
        <f>ROUND(8.74343,5)</f>
        <v>8.74343</v>
      </c>
      <c r="G188" s="19"/>
      <c r="H188" s="29"/>
    </row>
    <row r="189" spans="1:8" ht="12.75" customHeight="1">
      <c r="A189" s="31">
        <v>42131</v>
      </c>
      <c r="B189" s="31"/>
      <c r="C189" s="20">
        <f>ROUND(8.685,5)</f>
        <v>8.685</v>
      </c>
      <c r="D189" s="20">
        <f>F189</f>
        <v>8.78561</v>
      </c>
      <c r="E189" s="20">
        <f>F189</f>
        <v>8.78561</v>
      </c>
      <c r="F189" s="20">
        <f>ROUND(8.78561,5)</f>
        <v>8.78561</v>
      </c>
      <c r="G189" s="19"/>
      <c r="H189" s="29"/>
    </row>
    <row r="190" spans="1:8" ht="12.75" customHeight="1">
      <c r="A190" s="31">
        <v>42222</v>
      </c>
      <c r="B190" s="31"/>
      <c r="C190" s="20">
        <f>ROUND(8.685,5)</f>
        <v>8.685</v>
      </c>
      <c r="D190" s="20">
        <f>F190</f>
        <v>8.81629</v>
      </c>
      <c r="E190" s="20">
        <f>F190</f>
        <v>8.81629</v>
      </c>
      <c r="F190" s="20">
        <f>ROUND(8.81629,5)</f>
        <v>8.81629</v>
      </c>
      <c r="G190" s="19"/>
      <c r="H190" s="29"/>
    </row>
    <row r="191" spans="1:8" ht="12.75" customHeight="1">
      <c r="A191" s="31">
        <v>42313</v>
      </c>
      <c r="B191" s="31"/>
      <c r="C191" s="20">
        <f>ROUND(8.685,5)</f>
        <v>8.685</v>
      </c>
      <c r="D191" s="20">
        <f>F191</f>
        <v>8.85951</v>
      </c>
      <c r="E191" s="20">
        <f>F191</f>
        <v>8.85951</v>
      </c>
      <c r="F191" s="20">
        <f>ROUND(8.85951,5)</f>
        <v>8.85951</v>
      </c>
      <c r="G191" s="19"/>
      <c r="H191" s="29"/>
    </row>
    <row r="192" spans="1:8" ht="12.75" customHeight="1">
      <c r="A192" s="31" t="s">
        <v>57</v>
      </c>
      <c r="B192" s="31"/>
      <c r="C192" s="18"/>
      <c r="D192" s="18"/>
      <c r="E192" s="18"/>
      <c r="F192" s="18"/>
      <c r="G192" s="19"/>
      <c r="H192" s="29"/>
    </row>
    <row r="193" spans="1:8" ht="12.75" customHeight="1">
      <c r="A193" s="31">
        <v>41949</v>
      </c>
      <c r="B193" s="31"/>
      <c r="C193" s="20">
        <f>ROUND(8.74,5)</f>
        <v>8.74</v>
      </c>
      <c r="D193" s="20">
        <f>F193</f>
        <v>8.735</v>
      </c>
      <c r="E193" s="20">
        <f>F193</f>
        <v>8.735</v>
      </c>
      <c r="F193" s="20">
        <f>ROUND(8.735,5)</f>
        <v>8.735</v>
      </c>
      <c r="G193" s="19"/>
      <c r="H193" s="29"/>
    </row>
    <row r="194" spans="1:8" ht="12.75" customHeight="1">
      <c r="A194" s="31">
        <v>42040</v>
      </c>
      <c r="B194" s="31"/>
      <c r="C194" s="20">
        <f>ROUND(8.74,5)</f>
        <v>8.74</v>
      </c>
      <c r="D194" s="20">
        <f>F194</f>
        <v>8.79991</v>
      </c>
      <c r="E194" s="20">
        <f>F194</f>
        <v>8.79991</v>
      </c>
      <c r="F194" s="20">
        <f>ROUND(8.79991,5)</f>
        <v>8.79991</v>
      </c>
      <c r="G194" s="19"/>
      <c r="H194" s="29"/>
    </row>
    <row r="195" spans="1:8" ht="12.75" customHeight="1">
      <c r="A195" s="31">
        <v>42131</v>
      </c>
      <c r="B195" s="31"/>
      <c r="C195" s="20">
        <f>ROUND(8.74,5)</f>
        <v>8.74</v>
      </c>
      <c r="D195" s="20">
        <f>F195</f>
        <v>8.84349</v>
      </c>
      <c r="E195" s="20">
        <f>F195</f>
        <v>8.84349</v>
      </c>
      <c r="F195" s="20">
        <f>ROUND(8.84349,5)</f>
        <v>8.84349</v>
      </c>
      <c r="G195" s="19"/>
      <c r="H195" s="29"/>
    </row>
    <row r="196" spans="1:8" ht="12.75" customHeight="1">
      <c r="A196" s="31">
        <v>42222</v>
      </c>
      <c r="B196" s="31"/>
      <c r="C196" s="20">
        <f>ROUND(8.74,5)</f>
        <v>8.74</v>
      </c>
      <c r="D196" s="20">
        <f>F196</f>
        <v>8.87561</v>
      </c>
      <c r="E196" s="20">
        <f>F196</f>
        <v>8.87561</v>
      </c>
      <c r="F196" s="20">
        <f>ROUND(8.87561,5)</f>
        <v>8.87561</v>
      </c>
      <c r="G196" s="19"/>
      <c r="H196" s="29"/>
    </row>
    <row r="197" spans="1:8" ht="12.75" customHeight="1">
      <c r="A197" s="31">
        <v>42313</v>
      </c>
      <c r="B197" s="31"/>
      <c r="C197" s="20">
        <f>ROUND(8.74,5)</f>
        <v>8.74</v>
      </c>
      <c r="D197" s="20">
        <f>F197</f>
        <v>8.92029</v>
      </c>
      <c r="E197" s="20">
        <f>F197</f>
        <v>8.92029</v>
      </c>
      <c r="F197" s="20">
        <f>ROUND(8.92029,5)</f>
        <v>8.92029</v>
      </c>
      <c r="G197" s="19"/>
      <c r="H197" s="29"/>
    </row>
    <row r="198" spans="1:8" ht="12.75" customHeight="1">
      <c r="A198" s="31" t="s">
        <v>58</v>
      </c>
      <c r="B198" s="31"/>
      <c r="C198" s="18"/>
      <c r="D198" s="18"/>
      <c r="E198" s="18"/>
      <c r="F198" s="18"/>
      <c r="G198" s="19"/>
      <c r="H198" s="29"/>
    </row>
    <row r="199" spans="1:8" ht="12.75" customHeight="1">
      <c r="A199" s="31">
        <v>41985</v>
      </c>
      <c r="B199" s="31"/>
      <c r="C199" s="22">
        <f>ROUND(-12.0392733514921,4)</f>
        <v>-12.0393</v>
      </c>
      <c r="D199" s="22">
        <f>F199</f>
        <v>-12.1146</v>
      </c>
      <c r="E199" s="22">
        <f>F199</f>
        <v>-12.1146</v>
      </c>
      <c r="F199" s="22">
        <f>ROUND(-12.1146,4)</f>
        <v>-12.1146</v>
      </c>
      <c r="G199" s="19"/>
      <c r="H199" s="29"/>
    </row>
    <row r="200" spans="1:8" ht="12.75" customHeight="1">
      <c r="A200" s="31" t="s">
        <v>59</v>
      </c>
      <c r="B200" s="31"/>
      <c r="C200" s="18"/>
      <c r="D200" s="18"/>
      <c r="E200" s="18"/>
      <c r="F200" s="18"/>
      <c r="G200" s="19"/>
      <c r="H200" s="29"/>
    </row>
    <row r="201" spans="1:8" ht="12.75" customHeight="1">
      <c r="A201" s="31">
        <v>41985</v>
      </c>
      <c r="B201" s="31"/>
      <c r="C201" s="22">
        <f>ROUND(1083.33013015804,4)</f>
        <v>1083.3301</v>
      </c>
      <c r="D201" s="22">
        <f>F201</f>
        <v>1090.1061</v>
      </c>
      <c r="E201" s="22">
        <f>F201</f>
        <v>1090.1061</v>
      </c>
      <c r="F201" s="22">
        <f>ROUND(1090.1061,4)</f>
        <v>1090.1061</v>
      </c>
      <c r="G201" s="19"/>
      <c r="H201" s="29"/>
    </row>
    <row r="202" spans="1:8" ht="12.75" customHeight="1">
      <c r="A202" s="31" t="s">
        <v>60</v>
      </c>
      <c r="B202" s="31"/>
      <c r="C202" s="18"/>
      <c r="D202" s="18"/>
      <c r="E202" s="18"/>
      <c r="F202" s="18"/>
      <c r="G202" s="19"/>
      <c r="H202" s="29"/>
    </row>
    <row r="203" spans="1:8" ht="12.75" customHeight="1">
      <c r="A203" s="31">
        <v>41985</v>
      </c>
      <c r="B203" s="31"/>
      <c r="C203" s="22">
        <f>ROUND(984.378770383792,4)</f>
        <v>984.3788</v>
      </c>
      <c r="D203" s="22">
        <f>F203</f>
        <v>990.5358</v>
      </c>
      <c r="E203" s="22">
        <f>F203</f>
        <v>990.5358</v>
      </c>
      <c r="F203" s="22">
        <f>ROUND(990.5358,4)</f>
        <v>990.5358</v>
      </c>
      <c r="G203" s="19"/>
      <c r="H203" s="29"/>
    </row>
    <row r="204" spans="1:8" ht="12.75" customHeight="1">
      <c r="A204" s="31" t="s">
        <v>61</v>
      </c>
      <c r="B204" s="31"/>
      <c r="C204" s="18"/>
      <c r="D204" s="18"/>
      <c r="E204" s="18"/>
      <c r="F204" s="18"/>
      <c r="G204" s="19"/>
      <c r="H204" s="29"/>
    </row>
    <row r="205" spans="1:8" ht="12.75" customHeight="1">
      <c r="A205" s="31">
        <v>41985</v>
      </c>
      <c r="B205" s="31"/>
      <c r="C205" s="22">
        <f>ROUND(1083.33013015804,4)</f>
        <v>1083.3301</v>
      </c>
      <c r="D205" s="22">
        <f>F205</f>
        <v>1090.1061</v>
      </c>
      <c r="E205" s="22">
        <f>F205</f>
        <v>1090.1061</v>
      </c>
      <c r="F205" s="22">
        <f>ROUND(1090.1061,4)</f>
        <v>1090.1061</v>
      </c>
      <c r="G205" s="19"/>
      <c r="H205" s="29"/>
    </row>
    <row r="206" spans="1:8" ht="12.75" customHeight="1">
      <c r="A206" s="31" t="s">
        <v>62</v>
      </c>
      <c r="B206" s="31"/>
      <c r="C206" s="18"/>
      <c r="D206" s="18"/>
      <c r="E206" s="18"/>
      <c r="F206" s="18"/>
      <c r="G206" s="19"/>
      <c r="H206" s="29"/>
    </row>
    <row r="207" spans="1:8" ht="12.75" customHeight="1">
      <c r="A207" s="31">
        <v>41985</v>
      </c>
      <c r="B207" s="31"/>
      <c r="C207" s="22">
        <f>ROUND(-284.844022821673,4)</f>
        <v>-284.844</v>
      </c>
      <c r="D207" s="22">
        <f>F207</f>
        <v>-286.6256</v>
      </c>
      <c r="E207" s="22">
        <f>F207</f>
        <v>-286.6256</v>
      </c>
      <c r="F207" s="22">
        <f>ROUND(-286.6256,4)</f>
        <v>-286.6256</v>
      </c>
      <c r="G207" s="19"/>
      <c r="H207" s="29"/>
    </row>
    <row r="208" spans="1:8" ht="12.75" customHeight="1">
      <c r="A208" s="31" t="s">
        <v>63</v>
      </c>
      <c r="B208" s="31"/>
      <c r="C208" s="18"/>
      <c r="D208" s="18"/>
      <c r="E208" s="18"/>
      <c r="F208" s="18"/>
      <c r="G208" s="19"/>
      <c r="H208" s="29"/>
    </row>
    <row r="209" spans="1:8" ht="12.75" customHeight="1">
      <c r="A209" s="31">
        <v>41985</v>
      </c>
      <c r="B209" s="31"/>
      <c r="C209" s="22">
        <f>ROUND(891.567317886542,4)</f>
        <v>891.5673</v>
      </c>
      <c r="D209" s="22">
        <f>F209</f>
        <v>897.1438</v>
      </c>
      <c r="E209" s="22">
        <f>F209</f>
        <v>897.1438</v>
      </c>
      <c r="F209" s="22">
        <f>ROUND(897.1438,4)</f>
        <v>897.1438</v>
      </c>
      <c r="G209" s="19"/>
      <c r="H209" s="29"/>
    </row>
    <row r="210" spans="1:8" ht="12.75" customHeight="1">
      <c r="A210" s="31" t="s">
        <v>64</v>
      </c>
      <c r="B210" s="31"/>
      <c r="C210" s="18"/>
      <c r="D210" s="18"/>
      <c r="E210" s="18"/>
      <c r="F210" s="18"/>
      <c r="G210" s="19"/>
      <c r="H210" s="29"/>
    </row>
    <row r="211" spans="1:8" ht="12.75" customHeight="1">
      <c r="A211" s="31">
        <v>41975</v>
      </c>
      <c r="B211" s="31"/>
      <c r="C211" s="22">
        <f>ROUND(8238.52485522861,4)</f>
        <v>8238.5249</v>
      </c>
      <c r="D211" s="22">
        <f>F211</f>
        <v>8275.7779</v>
      </c>
      <c r="E211" s="22">
        <f>F211</f>
        <v>8275.7779</v>
      </c>
      <c r="F211" s="22">
        <f>ROUND(8275.7779,4)</f>
        <v>8275.7779</v>
      </c>
      <c r="G211" s="19"/>
      <c r="H211" s="29"/>
    </row>
    <row r="212" spans="1:8" ht="12.75" customHeight="1">
      <c r="A212" s="31" t="s">
        <v>65</v>
      </c>
      <c r="B212" s="31"/>
      <c r="C212" s="18"/>
      <c r="D212" s="18"/>
      <c r="E212" s="18"/>
      <c r="F212" s="18"/>
      <c r="G212" s="19"/>
      <c r="H212" s="29"/>
    </row>
    <row r="213" spans="1:8" ht="12.75" customHeight="1">
      <c r="A213" s="31">
        <v>41962</v>
      </c>
      <c r="B213" s="31"/>
      <c r="C213" s="22">
        <f>ROUND(60.1404790060413,4)</f>
        <v>60.1405</v>
      </c>
      <c r="D213" s="22">
        <f>F213</f>
        <v>60.2543</v>
      </c>
      <c r="E213" s="22">
        <f>F213</f>
        <v>60.2543</v>
      </c>
      <c r="F213" s="22">
        <f>ROUND(60.2543,4)</f>
        <v>60.2543</v>
      </c>
      <c r="G213" s="19"/>
      <c r="H213" s="29"/>
    </row>
    <row r="214" spans="1:8" ht="12.75" customHeight="1">
      <c r="A214" s="31" t="s">
        <v>66</v>
      </c>
      <c r="B214" s="31"/>
      <c r="C214" s="18"/>
      <c r="D214" s="18"/>
      <c r="E214" s="18"/>
      <c r="F214" s="18"/>
      <c r="G214" s="19"/>
      <c r="H214" s="29"/>
    </row>
    <row r="215" spans="1:8" ht="12.75" customHeight="1">
      <c r="A215" s="31">
        <v>41969</v>
      </c>
      <c r="B215" s="31"/>
      <c r="C215" s="22">
        <f>ROUND(13.8503349,4)</f>
        <v>13.8503</v>
      </c>
      <c r="D215" s="22">
        <f>F215</f>
        <v>13.8862</v>
      </c>
      <c r="E215" s="22">
        <f>F215</f>
        <v>13.8862</v>
      </c>
      <c r="F215" s="22">
        <f>ROUND(13.8862,4)</f>
        <v>13.8862</v>
      </c>
      <c r="G215" s="19"/>
      <c r="H215" s="29"/>
    </row>
    <row r="216" spans="1:8" ht="12.75" customHeight="1">
      <c r="A216" s="31" t="s">
        <v>67</v>
      </c>
      <c r="B216" s="31"/>
      <c r="C216" s="18"/>
      <c r="D216" s="18"/>
      <c r="E216" s="18"/>
      <c r="F216" s="18"/>
      <c r="G216" s="19"/>
      <c r="H216" s="29"/>
    </row>
    <row r="217" spans="1:8" ht="12.75" customHeight="1">
      <c r="A217" s="31">
        <v>42027</v>
      </c>
      <c r="B217" s="31"/>
      <c r="C217" s="22">
        <f>ROUND(17.7241897583333,4)</f>
        <v>17.7242</v>
      </c>
      <c r="D217" s="22">
        <f>F217</f>
        <v>17.9402</v>
      </c>
      <c r="E217" s="22">
        <f>F217</f>
        <v>17.9402</v>
      </c>
      <c r="F217" s="22">
        <f>ROUND(17.9402,4)</f>
        <v>17.9402</v>
      </c>
      <c r="G217" s="19"/>
      <c r="H217" s="29"/>
    </row>
    <row r="218" spans="1:8" ht="12.75" customHeight="1">
      <c r="A218" s="31" t="s">
        <v>68</v>
      </c>
      <c r="B218" s="31"/>
      <c r="C218" s="18"/>
      <c r="D218" s="18"/>
      <c r="E218" s="18"/>
      <c r="F218" s="18"/>
      <c r="G218" s="19"/>
      <c r="H218" s="29"/>
    </row>
    <row r="219" spans="1:8" ht="12.75" customHeight="1">
      <c r="A219" s="31">
        <v>41953</v>
      </c>
      <c r="B219" s="31"/>
      <c r="C219" s="22">
        <f aca="true" t="shared" si="0" ref="C219:C243">ROUND(11.1355,4)</f>
        <v>11.1355</v>
      </c>
      <c r="D219" s="22">
        <f aca="true" t="shared" si="1" ref="D219:D243">F219</f>
        <v>11.1407</v>
      </c>
      <c r="E219" s="22">
        <f aca="true" t="shared" si="2" ref="E219:E243">F219</f>
        <v>11.1407</v>
      </c>
      <c r="F219" s="22">
        <f>ROUND(11.1407,4)</f>
        <v>11.1407</v>
      </c>
      <c r="G219" s="19"/>
      <c r="H219" s="29"/>
    </row>
    <row r="220" spans="1:8" ht="12.75" customHeight="1">
      <c r="A220" s="31">
        <v>41955</v>
      </c>
      <c r="B220" s="31"/>
      <c r="C220" s="22">
        <f t="shared" si="0"/>
        <v>11.1355</v>
      </c>
      <c r="D220" s="22">
        <f t="shared" si="1"/>
        <v>11.139</v>
      </c>
      <c r="E220" s="22">
        <f t="shared" si="2"/>
        <v>11.139</v>
      </c>
      <c r="F220" s="22">
        <f>ROUND(11.139,4)</f>
        <v>11.139</v>
      </c>
      <c r="G220" s="19"/>
      <c r="H220" s="29"/>
    </row>
    <row r="221" spans="1:8" ht="12.75" customHeight="1">
      <c r="A221" s="31">
        <v>41968</v>
      </c>
      <c r="B221" s="31"/>
      <c r="C221" s="22">
        <f t="shared" si="0"/>
        <v>11.1355</v>
      </c>
      <c r="D221" s="22">
        <f t="shared" si="1"/>
        <v>11.1614</v>
      </c>
      <c r="E221" s="22">
        <f t="shared" si="2"/>
        <v>11.1614</v>
      </c>
      <c r="F221" s="22">
        <f>ROUND(11.1614,4)</f>
        <v>11.1614</v>
      </c>
      <c r="G221" s="19"/>
      <c r="H221" s="29"/>
    </row>
    <row r="222" spans="1:8" ht="12.75" customHeight="1">
      <c r="A222" s="31">
        <v>41969</v>
      </c>
      <c r="B222" s="31"/>
      <c r="C222" s="22">
        <f t="shared" si="0"/>
        <v>11.1355</v>
      </c>
      <c r="D222" s="22">
        <f t="shared" si="1"/>
        <v>11.1633</v>
      </c>
      <c r="E222" s="22">
        <f t="shared" si="2"/>
        <v>11.1633</v>
      </c>
      <c r="F222" s="22">
        <f>ROUND(11.1633,4)</f>
        <v>11.1633</v>
      </c>
      <c r="G222" s="19"/>
      <c r="H222" s="29"/>
    </row>
    <row r="223" spans="1:8" ht="12.75" customHeight="1">
      <c r="A223" s="31">
        <v>41971</v>
      </c>
      <c r="B223" s="31"/>
      <c r="C223" s="22">
        <f t="shared" si="0"/>
        <v>11.1355</v>
      </c>
      <c r="D223" s="22">
        <f t="shared" si="1"/>
        <v>11.1672</v>
      </c>
      <c r="E223" s="22">
        <f t="shared" si="2"/>
        <v>11.1672</v>
      </c>
      <c r="F223" s="22">
        <f>ROUND(11.1672,4)</f>
        <v>11.1672</v>
      </c>
      <c r="G223" s="19"/>
      <c r="H223" s="29"/>
    </row>
    <row r="224" spans="1:8" ht="12.75" customHeight="1">
      <c r="A224" s="31">
        <v>41983</v>
      </c>
      <c r="B224" s="31"/>
      <c r="C224" s="22">
        <f t="shared" si="0"/>
        <v>11.1355</v>
      </c>
      <c r="D224" s="22">
        <f t="shared" si="1"/>
        <v>11.1902</v>
      </c>
      <c r="E224" s="22">
        <f t="shared" si="2"/>
        <v>11.1902</v>
      </c>
      <c r="F224" s="22">
        <f>ROUND(11.1902,4)</f>
        <v>11.1902</v>
      </c>
      <c r="G224" s="19"/>
      <c r="H224" s="29"/>
    </row>
    <row r="225" spans="1:8" ht="12.75" customHeight="1">
      <c r="A225" s="31">
        <v>41984</v>
      </c>
      <c r="B225" s="31"/>
      <c r="C225" s="22">
        <f t="shared" si="0"/>
        <v>11.1355</v>
      </c>
      <c r="D225" s="22">
        <f t="shared" si="1"/>
        <v>11.1922</v>
      </c>
      <c r="E225" s="22">
        <f t="shared" si="2"/>
        <v>11.1922</v>
      </c>
      <c r="F225" s="22">
        <f>ROUND(11.1922,4)</f>
        <v>11.1922</v>
      </c>
      <c r="G225" s="19"/>
      <c r="H225" s="29"/>
    </row>
    <row r="226" spans="1:8" ht="12.75" customHeight="1">
      <c r="A226" s="31">
        <v>41988</v>
      </c>
      <c r="B226" s="31"/>
      <c r="C226" s="22">
        <f t="shared" si="0"/>
        <v>11.1355</v>
      </c>
      <c r="D226" s="22">
        <f t="shared" si="1"/>
        <v>11.2004</v>
      </c>
      <c r="E226" s="22">
        <f t="shared" si="2"/>
        <v>11.2004</v>
      </c>
      <c r="F226" s="22">
        <f>ROUND(11.2004,4)</f>
        <v>11.2004</v>
      </c>
      <c r="G226" s="19"/>
      <c r="H226" s="29"/>
    </row>
    <row r="227" spans="1:8" ht="12.75" customHeight="1">
      <c r="A227" s="31">
        <v>41992</v>
      </c>
      <c r="B227" s="31"/>
      <c r="C227" s="22">
        <f t="shared" si="0"/>
        <v>11.1355</v>
      </c>
      <c r="D227" s="22">
        <f t="shared" si="1"/>
        <v>11.2085</v>
      </c>
      <c r="E227" s="22">
        <f t="shared" si="2"/>
        <v>11.2085</v>
      </c>
      <c r="F227" s="22">
        <f>ROUND(11.2085,4)</f>
        <v>11.2085</v>
      </c>
      <c r="G227" s="19"/>
      <c r="H227" s="29"/>
    </row>
    <row r="228" spans="1:8" ht="12.75" customHeight="1">
      <c r="A228" s="31">
        <v>41996</v>
      </c>
      <c r="B228" s="31"/>
      <c r="C228" s="22">
        <f t="shared" si="0"/>
        <v>11.1355</v>
      </c>
      <c r="D228" s="22">
        <f t="shared" si="1"/>
        <v>11.2167</v>
      </c>
      <c r="E228" s="22">
        <f t="shared" si="2"/>
        <v>11.2167</v>
      </c>
      <c r="F228" s="22">
        <f>ROUND(11.2167,4)</f>
        <v>11.2167</v>
      </c>
      <c r="G228" s="19"/>
      <c r="H228" s="29"/>
    </row>
    <row r="229" spans="1:8" ht="12.75" customHeight="1">
      <c r="A229" s="31">
        <v>42032</v>
      </c>
      <c r="B229" s="31"/>
      <c r="C229" s="22">
        <f t="shared" si="0"/>
        <v>11.1355</v>
      </c>
      <c r="D229" s="22">
        <f t="shared" si="1"/>
        <v>11.2872</v>
      </c>
      <c r="E229" s="22">
        <f t="shared" si="2"/>
        <v>11.2872</v>
      </c>
      <c r="F229" s="22">
        <f>ROUND(11.2872,4)</f>
        <v>11.2872</v>
      </c>
      <c r="G229" s="19"/>
      <c r="H229" s="29"/>
    </row>
    <row r="230" spans="1:8" ht="12.75" customHeight="1">
      <c r="A230" s="31">
        <v>42060</v>
      </c>
      <c r="B230" s="31"/>
      <c r="C230" s="22">
        <f t="shared" si="0"/>
        <v>11.1355</v>
      </c>
      <c r="D230" s="22">
        <f t="shared" si="1"/>
        <v>11.3409</v>
      </c>
      <c r="E230" s="22">
        <f t="shared" si="2"/>
        <v>11.3409</v>
      </c>
      <c r="F230" s="22">
        <f>ROUND(11.3409,4)</f>
        <v>11.3409</v>
      </c>
      <c r="G230" s="19"/>
      <c r="H230" s="29"/>
    </row>
    <row r="231" spans="1:8" ht="12.75" customHeight="1">
      <c r="A231" s="31">
        <v>42061</v>
      </c>
      <c r="B231" s="31"/>
      <c r="C231" s="22">
        <f t="shared" si="0"/>
        <v>11.1355</v>
      </c>
      <c r="D231" s="22">
        <f t="shared" si="1"/>
        <v>11.3429</v>
      </c>
      <c r="E231" s="22">
        <f t="shared" si="2"/>
        <v>11.3429</v>
      </c>
      <c r="F231" s="22">
        <f>ROUND(11.3429,4)</f>
        <v>11.3429</v>
      </c>
      <c r="G231" s="19"/>
      <c r="H231" s="29"/>
    </row>
    <row r="232" spans="1:8" ht="12.75" customHeight="1">
      <c r="A232" s="31">
        <v>42062</v>
      </c>
      <c r="B232" s="31"/>
      <c r="C232" s="22">
        <f t="shared" si="0"/>
        <v>11.1355</v>
      </c>
      <c r="D232" s="22">
        <f t="shared" si="1"/>
        <v>11.3448</v>
      </c>
      <c r="E232" s="22">
        <f t="shared" si="2"/>
        <v>11.3448</v>
      </c>
      <c r="F232" s="22">
        <f>ROUND(11.3448,4)</f>
        <v>11.3448</v>
      </c>
      <c r="G232" s="19"/>
      <c r="H232" s="29"/>
    </row>
    <row r="233" spans="1:8" ht="12.75" customHeight="1">
      <c r="A233" s="31">
        <v>42090</v>
      </c>
      <c r="B233" s="31"/>
      <c r="C233" s="22">
        <f t="shared" si="0"/>
        <v>11.1355</v>
      </c>
      <c r="D233" s="22">
        <f t="shared" si="1"/>
        <v>11.4</v>
      </c>
      <c r="E233" s="22">
        <f t="shared" si="2"/>
        <v>11.4</v>
      </c>
      <c r="F233" s="22">
        <f>ROUND(11.4,4)</f>
        <v>11.4</v>
      </c>
      <c r="G233" s="19"/>
      <c r="H233" s="29"/>
    </row>
    <row r="234" spans="1:8" ht="12.75" customHeight="1">
      <c r="A234" s="31">
        <v>42095</v>
      </c>
      <c r="B234" s="31"/>
      <c r="C234" s="22">
        <f t="shared" si="0"/>
        <v>11.1355</v>
      </c>
      <c r="D234" s="22">
        <f t="shared" si="1"/>
        <v>11.4099</v>
      </c>
      <c r="E234" s="22">
        <f t="shared" si="2"/>
        <v>11.4099</v>
      </c>
      <c r="F234" s="22">
        <f>ROUND(11.4099,4)</f>
        <v>11.4099</v>
      </c>
      <c r="G234" s="19"/>
      <c r="H234" s="29"/>
    </row>
    <row r="235" spans="1:8" ht="12.75" customHeight="1">
      <c r="A235" s="31">
        <v>42122</v>
      </c>
      <c r="B235" s="31"/>
      <c r="C235" s="22">
        <f t="shared" si="0"/>
        <v>11.1355</v>
      </c>
      <c r="D235" s="22">
        <f t="shared" si="1"/>
        <v>11.4631</v>
      </c>
      <c r="E235" s="22">
        <f t="shared" si="2"/>
        <v>11.4631</v>
      </c>
      <c r="F235" s="22">
        <f>ROUND(11.4631,4)</f>
        <v>11.4631</v>
      </c>
      <c r="G235" s="19"/>
      <c r="H235" s="29"/>
    </row>
    <row r="236" spans="1:8" ht="12.75" customHeight="1">
      <c r="A236" s="31">
        <v>42151</v>
      </c>
      <c r="B236" s="31"/>
      <c r="C236" s="22">
        <f t="shared" si="0"/>
        <v>11.1355</v>
      </c>
      <c r="D236" s="22">
        <f t="shared" si="1"/>
        <v>11.521</v>
      </c>
      <c r="E236" s="22">
        <f t="shared" si="2"/>
        <v>11.521</v>
      </c>
      <c r="F236" s="22">
        <f>ROUND(11.521,4)</f>
        <v>11.521</v>
      </c>
      <c r="G236" s="19"/>
      <c r="H236" s="29"/>
    </row>
    <row r="237" spans="1:8" ht="12.75" customHeight="1">
      <c r="A237" s="31">
        <v>42181</v>
      </c>
      <c r="B237" s="31"/>
      <c r="C237" s="22">
        <f t="shared" si="0"/>
        <v>11.1355</v>
      </c>
      <c r="D237" s="22">
        <f t="shared" si="1"/>
        <v>11.5817</v>
      </c>
      <c r="E237" s="22">
        <f t="shared" si="2"/>
        <v>11.5817</v>
      </c>
      <c r="F237" s="22">
        <f>ROUND(11.5817,4)</f>
        <v>11.5817</v>
      </c>
      <c r="G237" s="19"/>
      <c r="H237" s="29"/>
    </row>
    <row r="238" spans="1:8" ht="12.75" customHeight="1">
      <c r="A238" s="31">
        <v>42214</v>
      </c>
      <c r="B238" s="31"/>
      <c r="C238" s="22">
        <f t="shared" si="0"/>
        <v>11.1355</v>
      </c>
      <c r="D238" s="22">
        <f t="shared" si="1"/>
        <v>11.6484</v>
      </c>
      <c r="E238" s="22">
        <f t="shared" si="2"/>
        <v>11.6484</v>
      </c>
      <c r="F238" s="22">
        <f>ROUND(11.6484,4)</f>
        <v>11.6484</v>
      </c>
      <c r="G238" s="19"/>
      <c r="H238" s="29"/>
    </row>
    <row r="239" spans="1:8" ht="12.75" customHeight="1">
      <c r="A239" s="31">
        <v>42243</v>
      </c>
      <c r="B239" s="31"/>
      <c r="C239" s="22">
        <f t="shared" si="0"/>
        <v>11.1355</v>
      </c>
      <c r="D239" s="22">
        <f t="shared" si="1"/>
        <v>11.7082</v>
      </c>
      <c r="E239" s="22">
        <f t="shared" si="2"/>
        <v>11.7082</v>
      </c>
      <c r="F239" s="22">
        <f>ROUND(11.7082,4)</f>
        <v>11.7082</v>
      </c>
      <c r="G239" s="19"/>
      <c r="H239" s="29"/>
    </row>
    <row r="240" spans="1:8" ht="12.75" customHeight="1">
      <c r="A240" s="31">
        <v>42275</v>
      </c>
      <c r="B240" s="31"/>
      <c r="C240" s="22">
        <f t="shared" si="0"/>
        <v>11.1355</v>
      </c>
      <c r="D240" s="22">
        <f t="shared" si="1"/>
        <v>11.775</v>
      </c>
      <c r="E240" s="22">
        <f t="shared" si="2"/>
        <v>11.775</v>
      </c>
      <c r="F240" s="22">
        <f>ROUND(11.775,4)</f>
        <v>11.775</v>
      </c>
      <c r="G240" s="19"/>
      <c r="H240" s="29"/>
    </row>
    <row r="241" spans="1:8" ht="12.75" customHeight="1">
      <c r="A241" s="31">
        <v>42305</v>
      </c>
      <c r="B241" s="31"/>
      <c r="C241" s="22">
        <f t="shared" si="0"/>
        <v>11.1355</v>
      </c>
      <c r="D241" s="22">
        <f t="shared" si="1"/>
        <v>11.8377</v>
      </c>
      <c r="E241" s="22">
        <f t="shared" si="2"/>
        <v>11.8377</v>
      </c>
      <c r="F241" s="22">
        <f>ROUND(11.8377,4)</f>
        <v>11.8377</v>
      </c>
      <c r="G241" s="19"/>
      <c r="H241" s="29"/>
    </row>
    <row r="242" spans="1:8" ht="12.75" customHeight="1">
      <c r="A242" s="31">
        <v>42333</v>
      </c>
      <c r="B242" s="31"/>
      <c r="C242" s="22">
        <f t="shared" si="0"/>
        <v>11.1355</v>
      </c>
      <c r="D242" s="22">
        <f t="shared" si="1"/>
        <v>11.8964</v>
      </c>
      <c r="E242" s="22">
        <f t="shared" si="2"/>
        <v>11.8964</v>
      </c>
      <c r="F242" s="22">
        <f>ROUND(11.8964,4)</f>
        <v>11.8964</v>
      </c>
      <c r="G242" s="19"/>
      <c r="H242" s="29"/>
    </row>
    <row r="243" spans="1:8" ht="12.75" customHeight="1">
      <c r="A243" s="31">
        <v>42359</v>
      </c>
      <c r="B243" s="31"/>
      <c r="C243" s="22">
        <f t="shared" si="0"/>
        <v>11.1355</v>
      </c>
      <c r="D243" s="22">
        <f t="shared" si="1"/>
        <v>11.951</v>
      </c>
      <c r="E243" s="22">
        <f t="shared" si="2"/>
        <v>11.951</v>
      </c>
      <c r="F243" s="22">
        <f>ROUND(11.951,4)</f>
        <v>11.951</v>
      </c>
      <c r="G243" s="19"/>
      <c r="H243" s="29"/>
    </row>
    <row r="244" spans="1:8" ht="12.75" customHeight="1">
      <c r="A244" s="31" t="s">
        <v>69</v>
      </c>
      <c r="B244" s="31"/>
      <c r="C244" s="18"/>
      <c r="D244" s="18"/>
      <c r="E244" s="18"/>
      <c r="F244" s="18"/>
      <c r="G244" s="19"/>
      <c r="H244" s="29"/>
    </row>
    <row r="245" spans="1:8" ht="12.75" customHeight="1">
      <c r="A245" s="31">
        <v>41985</v>
      </c>
      <c r="B245" s="31"/>
      <c r="C245" s="22">
        <f>ROUND(1.2438,4)</f>
        <v>1.2438</v>
      </c>
      <c r="D245" s="22">
        <f>F245</f>
        <v>1.2441</v>
      </c>
      <c r="E245" s="22">
        <f>F245</f>
        <v>1.2441</v>
      </c>
      <c r="F245" s="22">
        <f>ROUND(1.2441,4)</f>
        <v>1.2441</v>
      </c>
      <c r="G245" s="19"/>
      <c r="H245" s="29"/>
    </row>
    <row r="246" spans="1:8" ht="12.75" customHeight="1">
      <c r="A246" s="31">
        <v>42079</v>
      </c>
      <c r="B246" s="31"/>
      <c r="C246" s="22">
        <f>ROUND(1.2438,4)</f>
        <v>1.2438</v>
      </c>
      <c r="D246" s="22">
        <f>F246</f>
        <v>1.2449</v>
      </c>
      <c r="E246" s="22">
        <f>F246</f>
        <v>1.2449</v>
      </c>
      <c r="F246" s="22">
        <f>ROUND(1.2449,4)</f>
        <v>1.2449</v>
      </c>
      <c r="G246" s="19"/>
      <c r="H246" s="29"/>
    </row>
    <row r="247" spans="1:8" ht="12.75" customHeight="1">
      <c r="A247" s="31">
        <v>42167</v>
      </c>
      <c r="B247" s="31"/>
      <c r="C247" s="22">
        <f>ROUND(1.2438,4)</f>
        <v>1.2438</v>
      </c>
      <c r="D247" s="22">
        <f>F247</f>
        <v>1.2459</v>
      </c>
      <c r="E247" s="22">
        <f>F247</f>
        <v>1.2459</v>
      </c>
      <c r="F247" s="22">
        <f>ROUND(1.2459,4)</f>
        <v>1.2459</v>
      </c>
      <c r="G247" s="19"/>
      <c r="H247" s="29"/>
    </row>
    <row r="248" spans="1:8" ht="12.75" customHeight="1">
      <c r="A248" s="31" t="s">
        <v>70</v>
      </c>
      <c r="B248" s="31"/>
      <c r="C248" s="18"/>
      <c r="D248" s="18"/>
      <c r="E248" s="18"/>
      <c r="F248" s="18"/>
      <c r="G248" s="19"/>
      <c r="H248" s="29"/>
    </row>
    <row r="249" spans="1:8" ht="12.75" customHeight="1">
      <c r="A249" s="31">
        <v>41985</v>
      </c>
      <c r="B249" s="31"/>
      <c r="C249" s="22">
        <f aca="true" t="shared" si="3" ref="C249:C255">ROUND(9.587735096875,4)</f>
        <v>9.5877</v>
      </c>
      <c r="D249" s="22">
        <f aca="true" t="shared" si="4" ref="D249:D255">F249</f>
        <v>9.6162</v>
      </c>
      <c r="E249" s="22">
        <f aca="true" t="shared" si="5" ref="E249:E255">F249</f>
        <v>9.6162</v>
      </c>
      <c r="F249" s="22">
        <f>ROUND(9.6162,4)</f>
        <v>9.6162</v>
      </c>
      <c r="G249" s="19"/>
      <c r="H249" s="29"/>
    </row>
    <row r="250" spans="1:8" ht="12.75" customHeight="1">
      <c r="A250" s="31">
        <v>42079</v>
      </c>
      <c r="B250" s="31"/>
      <c r="C250" s="22">
        <f t="shared" si="3"/>
        <v>9.5877</v>
      </c>
      <c r="D250" s="22">
        <f t="shared" si="4"/>
        <v>9.7083</v>
      </c>
      <c r="E250" s="22">
        <f t="shared" si="5"/>
        <v>9.7083</v>
      </c>
      <c r="F250" s="22">
        <f>ROUND(9.7083,4)</f>
        <v>9.7083</v>
      </c>
      <c r="G250" s="19"/>
      <c r="H250" s="29"/>
    </row>
    <row r="251" spans="1:8" ht="12.75" customHeight="1">
      <c r="A251" s="31">
        <v>42167</v>
      </c>
      <c r="B251" s="31"/>
      <c r="C251" s="22">
        <f t="shared" si="3"/>
        <v>9.5877</v>
      </c>
      <c r="D251" s="22">
        <f t="shared" si="4"/>
        <v>9.7965</v>
      </c>
      <c r="E251" s="22">
        <f t="shared" si="5"/>
        <v>9.7965</v>
      </c>
      <c r="F251" s="22">
        <f>ROUND(9.7965,4)</f>
        <v>9.7965</v>
      </c>
      <c r="G251" s="19"/>
      <c r="H251" s="29"/>
    </row>
    <row r="252" spans="1:8" ht="12.75" customHeight="1">
      <c r="A252" s="31">
        <v>42261</v>
      </c>
      <c r="B252" s="31"/>
      <c r="C252" s="22">
        <f t="shared" si="3"/>
        <v>9.5877</v>
      </c>
      <c r="D252" s="22">
        <f t="shared" si="4"/>
        <v>9.8961</v>
      </c>
      <c r="E252" s="22">
        <f t="shared" si="5"/>
        <v>9.8961</v>
      </c>
      <c r="F252" s="22">
        <f>ROUND(9.8961,4)</f>
        <v>9.8961</v>
      </c>
      <c r="G252" s="19"/>
      <c r="H252" s="29"/>
    </row>
    <row r="253" spans="1:8" ht="12.75" customHeight="1">
      <c r="A253" s="31">
        <v>42349</v>
      </c>
      <c r="B253" s="31"/>
      <c r="C253" s="22">
        <f t="shared" si="3"/>
        <v>9.5877</v>
      </c>
      <c r="D253" s="22">
        <f t="shared" si="4"/>
        <v>9.9959</v>
      </c>
      <c r="E253" s="22">
        <f t="shared" si="5"/>
        <v>9.9959</v>
      </c>
      <c r="F253" s="22">
        <f>ROUND(9.9959,4)</f>
        <v>9.9959</v>
      </c>
      <c r="G253" s="19"/>
      <c r="H253" s="29"/>
    </row>
    <row r="254" spans="1:8" ht="12.75" customHeight="1">
      <c r="A254" s="31">
        <v>42443</v>
      </c>
      <c r="B254" s="31"/>
      <c r="C254" s="22">
        <f t="shared" si="3"/>
        <v>9.5877</v>
      </c>
      <c r="D254" s="22">
        <f t="shared" si="4"/>
        <v>10.1073</v>
      </c>
      <c r="E254" s="22">
        <f t="shared" si="5"/>
        <v>10.1073</v>
      </c>
      <c r="F254" s="22">
        <f>ROUND(10.1073,4)</f>
        <v>10.1073</v>
      </c>
      <c r="G254" s="19"/>
      <c r="H254" s="29"/>
    </row>
    <row r="255" spans="1:8" ht="12.75" customHeight="1">
      <c r="A255" s="31">
        <v>42534</v>
      </c>
      <c r="B255" s="31"/>
      <c r="C255" s="22">
        <f t="shared" si="3"/>
        <v>9.5877</v>
      </c>
      <c r="D255" s="22">
        <f t="shared" si="4"/>
        <v>10.2186</v>
      </c>
      <c r="E255" s="22">
        <f t="shared" si="5"/>
        <v>10.2186</v>
      </c>
      <c r="F255" s="22">
        <f>ROUND(10.2186,4)</f>
        <v>10.2186</v>
      </c>
      <c r="G255" s="19"/>
      <c r="H255" s="29"/>
    </row>
    <row r="256" spans="1:8" ht="12.75" customHeight="1">
      <c r="A256" s="31" t="s">
        <v>71</v>
      </c>
      <c r="B256" s="31"/>
      <c r="C256" s="18"/>
      <c r="D256" s="18"/>
      <c r="E256" s="18"/>
      <c r="F256" s="18"/>
      <c r="G256" s="19"/>
      <c r="H256" s="29"/>
    </row>
    <row r="257" spans="1:8" ht="12.75" customHeight="1">
      <c r="A257" s="31">
        <v>41985</v>
      </c>
      <c r="B257" s="31"/>
      <c r="C257" s="22">
        <f>ROUND(9.77355509720455,4)</f>
        <v>9.7736</v>
      </c>
      <c r="D257" s="22">
        <f>F257</f>
        <v>9.8173</v>
      </c>
      <c r="E257" s="22">
        <f>F257</f>
        <v>9.8173</v>
      </c>
      <c r="F257" s="22">
        <f>ROUND(9.8173,4)</f>
        <v>9.8173</v>
      </c>
      <c r="G257" s="19"/>
      <c r="H257" s="29"/>
    </row>
    <row r="258" spans="1:8" ht="12.75" customHeight="1">
      <c r="A258" s="31">
        <v>42079</v>
      </c>
      <c r="B258" s="31"/>
      <c r="C258" s="22">
        <f>ROUND(9.77355509720455,4)</f>
        <v>9.7736</v>
      </c>
      <c r="D258" s="22">
        <f>F258</f>
        <v>9.955</v>
      </c>
      <c r="E258" s="22">
        <f>F258</f>
        <v>9.955</v>
      </c>
      <c r="F258" s="22">
        <f>ROUND(9.955,4)</f>
        <v>9.955</v>
      </c>
      <c r="G258" s="19"/>
      <c r="H258" s="29"/>
    </row>
    <row r="259" spans="1:8" ht="12.75" customHeight="1">
      <c r="A259" s="31">
        <v>42167</v>
      </c>
      <c r="B259" s="31"/>
      <c r="C259" s="22">
        <f>ROUND(9.77355509720455,4)</f>
        <v>9.7736</v>
      </c>
      <c r="D259" s="22">
        <f>F259</f>
        <v>10.0857</v>
      </c>
      <c r="E259" s="22">
        <f>F259</f>
        <v>10.0857</v>
      </c>
      <c r="F259" s="22">
        <f>ROUND(10.0857,4)</f>
        <v>10.0857</v>
      </c>
      <c r="G259" s="19"/>
      <c r="H259" s="29"/>
    </row>
    <row r="260" spans="1:8" ht="12.75" customHeight="1">
      <c r="A260" s="31">
        <v>42261</v>
      </c>
      <c r="B260" s="31"/>
      <c r="C260" s="22">
        <f>ROUND(9.77355509720455,4)</f>
        <v>9.7736</v>
      </c>
      <c r="D260" s="22">
        <f>F260</f>
        <v>10.2311</v>
      </c>
      <c r="E260" s="22">
        <f>F260</f>
        <v>10.2311</v>
      </c>
      <c r="F260" s="22">
        <f>ROUND(10.2311,4)</f>
        <v>10.2311</v>
      </c>
      <c r="G260" s="19"/>
      <c r="H260" s="29"/>
    </row>
    <row r="261" spans="1:8" ht="12.75" customHeight="1">
      <c r="A261" s="31" t="s">
        <v>72</v>
      </c>
      <c r="B261" s="31"/>
      <c r="C261" s="18"/>
      <c r="D261" s="18"/>
      <c r="E261" s="18"/>
      <c r="F261" s="18"/>
      <c r="G261" s="19"/>
      <c r="H261" s="29"/>
    </row>
    <row r="262" spans="1:8" ht="12.75" customHeight="1">
      <c r="A262" s="31">
        <v>41985</v>
      </c>
      <c r="B262" s="31"/>
      <c r="C262" s="22">
        <f>ROUND(1.82886503618749,4)</f>
        <v>1.8289</v>
      </c>
      <c r="D262" s="22">
        <f>F262</f>
        <v>1.823</v>
      </c>
      <c r="E262" s="22">
        <f>F262</f>
        <v>1.823</v>
      </c>
      <c r="F262" s="22">
        <f>ROUND(1.823,4)</f>
        <v>1.823</v>
      </c>
      <c r="G262" s="19"/>
      <c r="H262" s="29"/>
    </row>
    <row r="263" spans="1:8" ht="12.75" customHeight="1">
      <c r="A263" s="31">
        <v>42079</v>
      </c>
      <c r="B263" s="31"/>
      <c r="C263" s="22">
        <f>ROUND(1.82886503618749,4)</f>
        <v>1.8289</v>
      </c>
      <c r="D263" s="22">
        <f>F263</f>
        <v>1.8393</v>
      </c>
      <c r="E263" s="22">
        <f>F263</f>
        <v>1.8393</v>
      </c>
      <c r="F263" s="22">
        <f>ROUND(1.8393,4)</f>
        <v>1.8393</v>
      </c>
      <c r="G263" s="19"/>
      <c r="H263" s="29"/>
    </row>
    <row r="264" spans="1:8" ht="12.75" customHeight="1">
      <c r="A264" s="31">
        <v>42167</v>
      </c>
      <c r="B264" s="31"/>
      <c r="C264" s="22">
        <f>ROUND(1.82886503618749,4)</f>
        <v>1.8289</v>
      </c>
      <c r="D264" s="22">
        <f>F264</f>
        <v>1.8563</v>
      </c>
      <c r="E264" s="22">
        <f>F264</f>
        <v>1.8563</v>
      </c>
      <c r="F264" s="22">
        <f>ROUND(1.8563,4)</f>
        <v>1.8563</v>
      </c>
      <c r="G264" s="19"/>
      <c r="H264" s="29"/>
    </row>
    <row r="265" spans="1:8" ht="12.75" customHeight="1">
      <c r="A265" s="31">
        <v>42261</v>
      </c>
      <c r="B265" s="31"/>
      <c r="C265" s="22">
        <f>ROUND(1.82886503618749,4)</f>
        <v>1.8289</v>
      </c>
      <c r="D265" s="22">
        <f>F265</f>
        <v>1.8764</v>
      </c>
      <c r="E265" s="22">
        <f>F265</f>
        <v>1.8764</v>
      </c>
      <c r="F265" s="22">
        <f>ROUND(1.8764,4)</f>
        <v>1.8764</v>
      </c>
      <c r="G265" s="19"/>
      <c r="H265" s="29"/>
    </row>
    <row r="266" spans="1:8" ht="12.75" customHeight="1">
      <c r="A266" s="31" t="s">
        <v>73</v>
      </c>
      <c r="B266" s="31"/>
      <c r="C266" s="18"/>
      <c r="D266" s="18"/>
      <c r="E266" s="18"/>
      <c r="F266" s="18"/>
      <c r="G266" s="19"/>
      <c r="H266" s="29"/>
    </row>
    <row r="267" spans="1:8" ht="12.75" customHeight="1">
      <c r="A267" s="31">
        <v>41985</v>
      </c>
      <c r="B267" s="31"/>
      <c r="C267" s="22">
        <f aca="true" t="shared" si="6" ref="C267:C273">ROUND(13.8503349,4)</f>
        <v>13.8503</v>
      </c>
      <c r="D267" s="22">
        <f aca="true" t="shared" si="7" ref="D267:D273">F267</f>
        <v>13.9266</v>
      </c>
      <c r="E267" s="22">
        <f aca="true" t="shared" si="8" ref="E267:E273">F267</f>
        <v>13.9266</v>
      </c>
      <c r="F267" s="22">
        <f>ROUND(13.9266,4)</f>
        <v>13.9266</v>
      </c>
      <c r="G267" s="19"/>
      <c r="H267" s="29"/>
    </row>
    <row r="268" spans="1:8" ht="12.75" customHeight="1">
      <c r="A268" s="31">
        <v>42079</v>
      </c>
      <c r="B268" s="31"/>
      <c r="C268" s="22">
        <f t="shared" si="6"/>
        <v>13.8503</v>
      </c>
      <c r="D268" s="22">
        <f t="shared" si="7"/>
        <v>14.1654</v>
      </c>
      <c r="E268" s="22">
        <f t="shared" si="8"/>
        <v>14.1654</v>
      </c>
      <c r="F268" s="22">
        <f>ROUND(14.1654,4)</f>
        <v>14.1654</v>
      </c>
      <c r="G268" s="19"/>
      <c r="H268" s="29"/>
    </row>
    <row r="269" spans="1:8" ht="12.75" customHeight="1">
      <c r="A269" s="31">
        <v>42167</v>
      </c>
      <c r="B269" s="31"/>
      <c r="C269" s="22">
        <f t="shared" si="6"/>
        <v>13.8503</v>
      </c>
      <c r="D269" s="22">
        <f t="shared" si="7"/>
        <v>14.3948</v>
      </c>
      <c r="E269" s="22">
        <f t="shared" si="8"/>
        <v>14.3948</v>
      </c>
      <c r="F269" s="22">
        <f>ROUND(14.3948,4)</f>
        <v>14.3948</v>
      </c>
      <c r="G269" s="19"/>
      <c r="H269" s="29"/>
    </row>
    <row r="270" spans="1:8" ht="12.75" customHeight="1">
      <c r="A270" s="31">
        <v>42261</v>
      </c>
      <c r="B270" s="31"/>
      <c r="C270" s="22">
        <f t="shared" si="6"/>
        <v>13.8503</v>
      </c>
      <c r="D270" s="22">
        <f t="shared" si="7"/>
        <v>14.6526</v>
      </c>
      <c r="E270" s="22">
        <f t="shared" si="8"/>
        <v>14.6526</v>
      </c>
      <c r="F270" s="22">
        <f>ROUND(14.6526,4)</f>
        <v>14.6526</v>
      </c>
      <c r="G270" s="19"/>
      <c r="H270" s="29"/>
    </row>
    <row r="271" spans="1:8" ht="12.75" customHeight="1">
      <c r="A271" s="31">
        <v>42349</v>
      </c>
      <c r="B271" s="31"/>
      <c r="C271" s="22">
        <f t="shared" si="6"/>
        <v>13.8503</v>
      </c>
      <c r="D271" s="22">
        <f t="shared" si="7"/>
        <v>14.9034</v>
      </c>
      <c r="E271" s="22">
        <f t="shared" si="8"/>
        <v>14.9034</v>
      </c>
      <c r="F271" s="22">
        <f>ROUND(14.9034,4)</f>
        <v>14.9034</v>
      </c>
      <c r="G271" s="19"/>
      <c r="H271" s="29"/>
    </row>
    <row r="272" spans="1:8" ht="12.75" customHeight="1">
      <c r="A272" s="31">
        <v>42443</v>
      </c>
      <c r="B272" s="31"/>
      <c r="C272" s="22">
        <f t="shared" si="6"/>
        <v>13.8503</v>
      </c>
      <c r="D272" s="22">
        <f t="shared" si="7"/>
        <v>15.1814</v>
      </c>
      <c r="E272" s="22">
        <f t="shared" si="8"/>
        <v>15.1814</v>
      </c>
      <c r="F272" s="22">
        <f>ROUND(15.1814,4)</f>
        <v>15.1814</v>
      </c>
      <c r="G272" s="19"/>
      <c r="H272" s="29"/>
    </row>
    <row r="273" spans="1:8" ht="12.75" customHeight="1">
      <c r="A273" s="31">
        <v>42534</v>
      </c>
      <c r="B273" s="31"/>
      <c r="C273" s="22">
        <f t="shared" si="6"/>
        <v>13.8503</v>
      </c>
      <c r="D273" s="22">
        <f t="shared" si="7"/>
        <v>15.4787</v>
      </c>
      <c r="E273" s="22">
        <f t="shared" si="8"/>
        <v>15.4787</v>
      </c>
      <c r="F273" s="22">
        <f>ROUND(15.4787,4)</f>
        <v>15.4787</v>
      </c>
      <c r="G273" s="19"/>
      <c r="H273" s="29"/>
    </row>
    <row r="274" spans="1:8" ht="12.75" customHeight="1">
      <c r="A274" s="31" t="s">
        <v>74</v>
      </c>
      <c r="B274" s="31"/>
      <c r="C274" s="18"/>
      <c r="D274" s="18"/>
      <c r="E274" s="18"/>
      <c r="F274" s="18"/>
      <c r="G274" s="19"/>
      <c r="H274" s="29"/>
    </row>
    <row r="275" spans="1:8" ht="12.75" customHeight="1">
      <c r="A275" s="31">
        <v>41985</v>
      </c>
      <c r="B275" s="31"/>
      <c r="C275" s="22">
        <f>ROUND(11.5083712277801,4)</f>
        <v>11.5084</v>
      </c>
      <c r="D275" s="22">
        <f>F275</f>
        <v>11.5723</v>
      </c>
      <c r="E275" s="22">
        <f>F275</f>
        <v>11.5723</v>
      </c>
      <c r="F275" s="22">
        <f>ROUND(11.5723,4)</f>
        <v>11.5723</v>
      </c>
      <c r="G275" s="19"/>
      <c r="H275" s="29"/>
    </row>
    <row r="276" spans="1:8" ht="12.75" customHeight="1">
      <c r="A276" s="31">
        <v>42079</v>
      </c>
      <c r="B276" s="31"/>
      <c r="C276" s="22">
        <f>ROUND(11.5083712277801,4)</f>
        <v>11.5084</v>
      </c>
      <c r="D276" s="22">
        <f>F276</f>
        <v>11.7758</v>
      </c>
      <c r="E276" s="22">
        <f>F276</f>
        <v>11.7758</v>
      </c>
      <c r="F276" s="22">
        <f>ROUND(11.7758,4)</f>
        <v>11.7758</v>
      </c>
      <c r="G276" s="19"/>
      <c r="H276" s="29"/>
    </row>
    <row r="277" spans="1:8" ht="12.75" customHeight="1">
      <c r="A277" s="31">
        <v>42167</v>
      </c>
      <c r="B277" s="31"/>
      <c r="C277" s="22">
        <f>ROUND(11.5083712277801,4)</f>
        <v>11.5084</v>
      </c>
      <c r="D277" s="22">
        <f>F277</f>
        <v>11.9724</v>
      </c>
      <c r="E277" s="22">
        <f>F277</f>
        <v>11.9724</v>
      </c>
      <c r="F277" s="22">
        <f>ROUND(11.9724,4)</f>
        <v>11.9724</v>
      </c>
      <c r="G277" s="19"/>
      <c r="H277" s="29"/>
    </row>
    <row r="278" spans="1:8" ht="12.75" customHeight="1">
      <c r="A278" s="31">
        <v>42261</v>
      </c>
      <c r="B278" s="31"/>
      <c r="C278" s="22">
        <f>ROUND(11.5083712277801,4)</f>
        <v>11.5084</v>
      </c>
      <c r="D278" s="22">
        <f>F278</f>
        <v>12.1931</v>
      </c>
      <c r="E278" s="22">
        <f>F278</f>
        <v>12.1931</v>
      </c>
      <c r="F278" s="22">
        <f>ROUND(12.1931,4)</f>
        <v>12.1931</v>
      </c>
      <c r="G278" s="19"/>
      <c r="H278" s="29"/>
    </row>
    <row r="279" spans="1:8" ht="12.75" customHeight="1">
      <c r="A279" s="31">
        <v>42349</v>
      </c>
      <c r="B279" s="31"/>
      <c r="C279" s="22">
        <f>ROUND(11.5083712277801,4)</f>
        <v>11.5084</v>
      </c>
      <c r="D279" s="22">
        <f>F279</f>
        <v>12.4058</v>
      </c>
      <c r="E279" s="22">
        <f>F279</f>
        <v>12.4058</v>
      </c>
      <c r="F279" s="22">
        <f>ROUND(12.4058,4)</f>
        <v>12.4058</v>
      </c>
      <c r="G279" s="19"/>
      <c r="H279" s="29"/>
    </row>
    <row r="280" spans="1:8" ht="12.75" customHeight="1">
      <c r="A280" s="31" t="s">
        <v>75</v>
      </c>
      <c r="B280" s="31"/>
      <c r="C280" s="18"/>
      <c r="D280" s="18"/>
      <c r="E280" s="18"/>
      <c r="F280" s="18"/>
      <c r="G280" s="19"/>
      <c r="H280" s="29"/>
    </row>
    <row r="281" spans="1:8" ht="12.75" customHeight="1">
      <c r="A281" s="31">
        <v>41985</v>
      </c>
      <c r="B281" s="31"/>
      <c r="C281" s="22">
        <f aca="true" t="shared" si="9" ref="C281:C286">ROUND(17.7241897583333,4)</f>
        <v>17.7242</v>
      </c>
      <c r="D281" s="22">
        <f aca="true" t="shared" si="10" ref="D281:D286">F281</f>
        <v>17.8132</v>
      </c>
      <c r="E281" s="22">
        <f aca="true" t="shared" si="11" ref="E281:E286">F281</f>
        <v>17.8132</v>
      </c>
      <c r="F281" s="22">
        <f>ROUND(17.8132,4)</f>
        <v>17.8132</v>
      </c>
      <c r="G281" s="19"/>
      <c r="H281" s="29"/>
    </row>
    <row r="282" spans="1:8" ht="12.75" customHeight="1">
      <c r="A282" s="31">
        <v>42079</v>
      </c>
      <c r="B282" s="31"/>
      <c r="C282" s="22">
        <f t="shared" si="9"/>
        <v>17.7242</v>
      </c>
      <c r="D282" s="22">
        <f t="shared" si="10"/>
        <v>18.091</v>
      </c>
      <c r="E282" s="22">
        <f t="shared" si="11"/>
        <v>18.091</v>
      </c>
      <c r="F282" s="22">
        <f>ROUND(18.091,4)</f>
        <v>18.091</v>
      </c>
      <c r="G282" s="19"/>
      <c r="H282" s="29"/>
    </row>
    <row r="283" spans="1:8" ht="12.75" customHeight="1">
      <c r="A283" s="31">
        <v>42167</v>
      </c>
      <c r="B283" s="31"/>
      <c r="C283" s="22">
        <f t="shared" si="9"/>
        <v>17.7242</v>
      </c>
      <c r="D283" s="22">
        <f t="shared" si="10"/>
        <v>18.3522</v>
      </c>
      <c r="E283" s="22">
        <f t="shared" si="11"/>
        <v>18.3522</v>
      </c>
      <c r="F283" s="22">
        <f>ROUND(18.3522,4)</f>
        <v>18.3522</v>
      </c>
      <c r="G283" s="19"/>
      <c r="H283" s="29"/>
    </row>
    <row r="284" spans="1:8" ht="12.75" customHeight="1">
      <c r="A284" s="31">
        <v>42261</v>
      </c>
      <c r="B284" s="31"/>
      <c r="C284" s="22">
        <f t="shared" si="9"/>
        <v>17.7242</v>
      </c>
      <c r="D284" s="22">
        <f t="shared" si="10"/>
        <v>18.6396</v>
      </c>
      <c r="E284" s="22">
        <f t="shared" si="11"/>
        <v>18.6396</v>
      </c>
      <c r="F284" s="22">
        <f>ROUND(18.6396,4)</f>
        <v>18.6396</v>
      </c>
      <c r="G284" s="19"/>
      <c r="H284" s="29"/>
    </row>
    <row r="285" spans="1:8" ht="12.75" customHeight="1">
      <c r="A285" s="31">
        <v>42349</v>
      </c>
      <c r="B285" s="31"/>
      <c r="C285" s="22">
        <f t="shared" si="9"/>
        <v>17.7242</v>
      </c>
      <c r="D285" s="22">
        <f t="shared" si="10"/>
        <v>18.9163</v>
      </c>
      <c r="E285" s="22">
        <f t="shared" si="11"/>
        <v>18.9163</v>
      </c>
      <c r="F285" s="22">
        <f>ROUND(18.9163,4)</f>
        <v>18.9163</v>
      </c>
      <c r="G285" s="19"/>
      <c r="H285" s="29"/>
    </row>
    <row r="286" spans="1:8" ht="12.75" customHeight="1">
      <c r="A286" s="31">
        <v>42443</v>
      </c>
      <c r="B286" s="31"/>
      <c r="C286" s="22">
        <f t="shared" si="9"/>
        <v>17.7242</v>
      </c>
      <c r="D286" s="22">
        <f t="shared" si="10"/>
        <v>19.2159</v>
      </c>
      <c r="E286" s="22">
        <f t="shared" si="11"/>
        <v>19.2159</v>
      </c>
      <c r="F286" s="22">
        <f>ROUND(19.2159,4)</f>
        <v>19.2159</v>
      </c>
      <c r="G286" s="19"/>
      <c r="H286" s="29"/>
    </row>
    <row r="287" spans="1:8" ht="12.75" customHeight="1">
      <c r="A287" s="31" t="s">
        <v>76</v>
      </c>
      <c r="B287" s="31"/>
      <c r="C287" s="18"/>
      <c r="D287" s="18"/>
      <c r="E287" s="18"/>
      <c r="F287" s="18"/>
      <c r="G287" s="19"/>
      <c r="H287" s="29"/>
    </row>
    <row r="288" spans="1:8" ht="12.75" customHeight="1">
      <c r="A288" s="31">
        <v>41985</v>
      </c>
      <c r="B288" s="31"/>
      <c r="C288" s="23">
        <f>ROUND(0.0971827221504039,6)</f>
        <v>0.097183</v>
      </c>
      <c r="D288" s="23">
        <f>F288</f>
        <v>0.097717</v>
      </c>
      <c r="E288" s="23">
        <f>F288</f>
        <v>0.097717</v>
      </c>
      <c r="F288" s="23">
        <f>ROUND(0.097717,6)</f>
        <v>0.097717</v>
      </c>
      <c r="G288" s="19"/>
      <c r="H288" s="29"/>
    </row>
    <row r="289" spans="1:8" ht="12.75" customHeight="1">
      <c r="A289" s="31">
        <v>42079</v>
      </c>
      <c r="B289" s="31"/>
      <c r="C289" s="23">
        <f>ROUND(0.0971827221504039,6)</f>
        <v>0.097183</v>
      </c>
      <c r="D289" s="23">
        <f>F289</f>
        <v>0.099433</v>
      </c>
      <c r="E289" s="23">
        <f>F289</f>
        <v>0.099433</v>
      </c>
      <c r="F289" s="23">
        <f>ROUND(0.099433,6)</f>
        <v>0.099433</v>
      </c>
      <c r="G289" s="19"/>
      <c r="H289" s="29"/>
    </row>
    <row r="290" spans="1:8" ht="12.75" customHeight="1">
      <c r="A290" s="31">
        <v>42167</v>
      </c>
      <c r="B290" s="31"/>
      <c r="C290" s="23">
        <f>ROUND(0.0971827221504039,6)</f>
        <v>0.097183</v>
      </c>
      <c r="D290" s="23">
        <f>F290</f>
        <v>0.101073</v>
      </c>
      <c r="E290" s="23">
        <f>F290</f>
        <v>0.101073</v>
      </c>
      <c r="F290" s="23">
        <f>ROUND(0.101073,6)</f>
        <v>0.101073</v>
      </c>
      <c r="G290" s="19"/>
      <c r="H290" s="29"/>
    </row>
    <row r="291" spans="1:8" ht="12.75" customHeight="1">
      <c r="A291" s="31">
        <v>42261</v>
      </c>
      <c r="B291" s="31"/>
      <c r="C291" s="23">
        <f>ROUND(0.0971827221504039,6)</f>
        <v>0.097183</v>
      </c>
      <c r="D291" s="23">
        <f>F291</f>
        <v>0.102922</v>
      </c>
      <c r="E291" s="23">
        <f>F291</f>
        <v>0.102922</v>
      </c>
      <c r="F291" s="23">
        <f>ROUND(0.102922,6)</f>
        <v>0.102922</v>
      </c>
      <c r="G291" s="19"/>
      <c r="H291" s="29"/>
    </row>
    <row r="292" spans="1:8" ht="12.75" customHeight="1">
      <c r="A292" s="31">
        <v>42349</v>
      </c>
      <c r="B292" s="31"/>
      <c r="C292" s="23">
        <f>ROUND(0.0971827221504039,6)</f>
        <v>0.097183</v>
      </c>
      <c r="D292" s="23">
        <f>F292</f>
        <v>0.104763</v>
      </c>
      <c r="E292" s="23">
        <f>F292</f>
        <v>0.104763</v>
      </c>
      <c r="F292" s="23">
        <f>ROUND(0.104763,6)</f>
        <v>0.104763</v>
      </c>
      <c r="G292" s="19"/>
      <c r="H292" s="29"/>
    </row>
    <row r="293" spans="1:8" ht="12.75" customHeight="1">
      <c r="A293" s="31" t="s">
        <v>77</v>
      </c>
      <c r="B293" s="31"/>
      <c r="C293" s="18"/>
      <c r="D293" s="18"/>
      <c r="E293" s="18"/>
      <c r="F293" s="18"/>
      <c r="G293" s="19"/>
      <c r="H293" s="29"/>
    </row>
    <row r="294" spans="1:8" ht="12.75" customHeight="1">
      <c r="A294" s="31">
        <v>41985</v>
      </c>
      <c r="B294" s="31"/>
      <c r="C294" s="22">
        <f>ROUND(0.124073805836277,4)</f>
        <v>0.1241</v>
      </c>
      <c r="D294" s="22">
        <f>F294</f>
        <v>0.1241</v>
      </c>
      <c r="E294" s="22">
        <f>F294</f>
        <v>0.1241</v>
      </c>
      <c r="F294" s="22">
        <f>ROUND(0.1241,4)</f>
        <v>0.1241</v>
      </c>
      <c r="G294" s="19"/>
      <c r="H294" s="29"/>
    </row>
    <row r="295" spans="1:8" ht="12.75" customHeight="1">
      <c r="A295" s="31" t="s">
        <v>78</v>
      </c>
      <c r="B295" s="31"/>
      <c r="C295" s="18"/>
      <c r="D295" s="18"/>
      <c r="E295" s="18"/>
      <c r="F295" s="18"/>
      <c r="G295" s="19"/>
      <c r="H295" s="29"/>
    </row>
    <row r="296" spans="1:8" ht="12.75" customHeight="1">
      <c r="A296" s="31">
        <v>41985</v>
      </c>
      <c r="B296" s="31"/>
      <c r="C296" s="22">
        <f>ROUND(0.0668869100355893,4)</f>
        <v>0.0669</v>
      </c>
      <c r="D296" s="22">
        <f>F296</f>
        <v>0.0665</v>
      </c>
      <c r="E296" s="22">
        <f>F296</f>
        <v>0.0665</v>
      </c>
      <c r="F296" s="22">
        <f>ROUND(0.0665,4)</f>
        <v>0.0665</v>
      </c>
      <c r="G296" s="19"/>
      <c r="H296" s="29"/>
    </row>
    <row r="297" spans="1:8" ht="12.75" customHeight="1">
      <c r="A297" s="31">
        <v>42079</v>
      </c>
      <c r="B297" s="31"/>
      <c r="C297" s="22">
        <f>ROUND(0.0668869100355893,4)</f>
        <v>0.0669</v>
      </c>
      <c r="D297" s="22">
        <f>F297</f>
        <v>0.0654</v>
      </c>
      <c r="E297" s="22">
        <f>F297</f>
        <v>0.0654</v>
      </c>
      <c r="F297" s="22">
        <f>ROUND(0.0654,4)</f>
        <v>0.0654</v>
      </c>
      <c r="G297" s="19"/>
      <c r="H297" s="29"/>
    </row>
    <row r="298" spans="1:8" ht="12.75" customHeight="1">
      <c r="A298" s="31">
        <v>42167</v>
      </c>
      <c r="B298" s="31"/>
      <c r="C298" s="22">
        <f>ROUND(0.0668869100355893,4)</f>
        <v>0.0669</v>
      </c>
      <c r="D298" s="22">
        <f>F298</f>
        <v>0.0636</v>
      </c>
      <c r="E298" s="22">
        <f>F298</f>
        <v>0.0636</v>
      </c>
      <c r="F298" s="22">
        <f>ROUND(0.0636,4)</f>
        <v>0.0636</v>
      </c>
      <c r="G298" s="19"/>
      <c r="H298" s="29"/>
    </row>
    <row r="299" spans="1:8" ht="12.75" customHeight="1">
      <c r="A299" s="31">
        <v>42261</v>
      </c>
      <c r="B299" s="31"/>
      <c r="C299" s="22">
        <f>ROUND(0.0668869100355893,4)</f>
        <v>0.0669</v>
      </c>
      <c r="D299" s="22">
        <f>F299</f>
        <v>0.062</v>
      </c>
      <c r="E299" s="22">
        <f>F299</f>
        <v>0.062</v>
      </c>
      <c r="F299" s="22">
        <f>ROUND(0.062,4)</f>
        <v>0.062</v>
      </c>
      <c r="G299" s="19"/>
      <c r="H299" s="29"/>
    </row>
    <row r="300" spans="1:8" ht="12.75" customHeight="1">
      <c r="A300" s="31">
        <v>42349</v>
      </c>
      <c r="B300" s="31"/>
      <c r="C300" s="22">
        <f>ROUND(0.0668869100355893,4)</f>
        <v>0.0669</v>
      </c>
      <c r="D300" s="22">
        <f>F300</f>
        <v>0.0627</v>
      </c>
      <c r="E300" s="22">
        <f>F300</f>
        <v>0.0627</v>
      </c>
      <c r="F300" s="22">
        <f>ROUND(0.0627,4)</f>
        <v>0.0627</v>
      </c>
      <c r="G300" s="19"/>
      <c r="H300" s="29"/>
    </row>
    <row r="301" spans="1:8" ht="12.75" customHeight="1">
      <c r="A301" s="31" t="s">
        <v>79</v>
      </c>
      <c r="B301" s="31"/>
      <c r="C301" s="18"/>
      <c r="D301" s="18"/>
      <c r="E301" s="18"/>
      <c r="F301" s="18"/>
      <c r="G301" s="19"/>
      <c r="H301" s="29"/>
    </row>
    <row r="302" spans="1:8" ht="12.75" customHeight="1">
      <c r="A302" s="31">
        <v>41985</v>
      </c>
      <c r="B302" s="31"/>
      <c r="C302" s="22">
        <f>ROUND(8.614979575,4)</f>
        <v>8.615</v>
      </c>
      <c r="D302" s="22">
        <f>F302</f>
        <v>8.6421</v>
      </c>
      <c r="E302" s="22">
        <f>F302</f>
        <v>8.6421</v>
      </c>
      <c r="F302" s="22">
        <f>ROUND(8.6421,4)</f>
        <v>8.6421</v>
      </c>
      <c r="G302" s="19"/>
      <c r="H302" s="29"/>
    </row>
    <row r="303" spans="1:8" ht="12.75" customHeight="1">
      <c r="A303" s="31" t="s">
        <v>80</v>
      </c>
      <c r="B303" s="31"/>
      <c r="C303" s="18"/>
      <c r="D303" s="18"/>
      <c r="E303" s="18"/>
      <c r="F303" s="18"/>
      <c r="G303" s="19"/>
      <c r="H303" s="29"/>
    </row>
    <row r="304" spans="1:8" ht="12.75" customHeight="1">
      <c r="A304" s="31">
        <v>41985</v>
      </c>
      <c r="B304" s="31"/>
      <c r="C304" s="22">
        <f>ROUND(4.96212290004902,4)</f>
        <v>4.9621</v>
      </c>
      <c r="D304" s="22">
        <f>F304</f>
        <v>4.9509</v>
      </c>
      <c r="E304" s="22">
        <f>F304</f>
        <v>4.9509</v>
      </c>
      <c r="F304" s="22">
        <f>ROUND(4.9509,4)</f>
        <v>4.9509</v>
      </c>
      <c r="G304" s="19"/>
      <c r="H304" s="29"/>
    </row>
    <row r="305" spans="1:8" ht="12.75" customHeight="1">
      <c r="A305" s="31">
        <v>42079</v>
      </c>
      <c r="B305" s="31"/>
      <c r="C305" s="22">
        <f>ROUND(4.96212290004902,4)</f>
        <v>4.9621</v>
      </c>
      <c r="D305" s="22">
        <f>F305</f>
        <v>4.9294</v>
      </c>
      <c r="E305" s="22">
        <f>F305</f>
        <v>4.9294</v>
      </c>
      <c r="F305" s="22">
        <f>ROUND(4.9294,4)</f>
        <v>4.9294</v>
      </c>
      <c r="G305" s="19"/>
      <c r="H305" s="29"/>
    </row>
    <row r="306" spans="1:8" ht="12.75" customHeight="1">
      <c r="A306" s="31">
        <v>42167</v>
      </c>
      <c r="B306" s="31"/>
      <c r="C306" s="22">
        <f>ROUND(4.96212290004902,4)</f>
        <v>4.9621</v>
      </c>
      <c r="D306" s="22">
        <f>F306</f>
        <v>4.9119</v>
      </c>
      <c r="E306" s="22">
        <f>F306</f>
        <v>4.9119</v>
      </c>
      <c r="F306" s="22">
        <f>ROUND(4.9119,4)</f>
        <v>4.9119</v>
      </c>
      <c r="G306" s="19"/>
      <c r="H306" s="29"/>
    </row>
    <row r="307" spans="1:8" ht="12.75" customHeight="1">
      <c r="A307" s="31" t="s">
        <v>81</v>
      </c>
      <c r="B307" s="31"/>
      <c r="C307" s="18"/>
      <c r="D307" s="18"/>
      <c r="E307" s="18"/>
      <c r="F307" s="18"/>
      <c r="G307" s="19"/>
      <c r="H307" s="29"/>
    </row>
    <row r="308" spans="1:8" ht="12.75" customHeight="1">
      <c r="A308" s="31">
        <v>41985</v>
      </c>
      <c r="B308" s="31"/>
      <c r="C308" s="22">
        <f>ROUND(11.1355,4)</f>
        <v>11.1355</v>
      </c>
      <c r="D308" s="22">
        <f>F308</f>
        <v>11.1943</v>
      </c>
      <c r="E308" s="22">
        <f>F308</f>
        <v>11.1943</v>
      </c>
      <c r="F308" s="22">
        <f>ROUND(11.1943,4)</f>
        <v>11.1943</v>
      </c>
      <c r="G308" s="19"/>
      <c r="H308" s="29"/>
    </row>
    <row r="309" spans="1:8" ht="12.75" customHeight="1">
      <c r="A309" s="31">
        <v>42079</v>
      </c>
      <c r="B309" s="31"/>
      <c r="C309" s="22">
        <f>ROUND(11.1355,4)</f>
        <v>11.1355</v>
      </c>
      <c r="D309" s="22">
        <f>F309</f>
        <v>11.3783</v>
      </c>
      <c r="E309" s="22">
        <f>F309</f>
        <v>11.3783</v>
      </c>
      <c r="F309" s="22">
        <f>ROUND(11.3783,4)</f>
        <v>11.3783</v>
      </c>
      <c r="G309" s="19"/>
      <c r="H309" s="29"/>
    </row>
    <row r="310" spans="1:8" ht="12.75" customHeight="1">
      <c r="A310" s="31">
        <v>42167</v>
      </c>
      <c r="B310" s="31"/>
      <c r="C310" s="22">
        <f>ROUND(11.1355,4)</f>
        <v>11.1355</v>
      </c>
      <c r="D310" s="22">
        <f>F310</f>
        <v>11.5534</v>
      </c>
      <c r="E310" s="22">
        <f>F310</f>
        <v>11.5534</v>
      </c>
      <c r="F310" s="22">
        <f>ROUND(11.5534,4)</f>
        <v>11.5534</v>
      </c>
      <c r="G310" s="19"/>
      <c r="H310" s="29"/>
    </row>
    <row r="311" spans="1:8" ht="12.75" customHeight="1">
      <c r="A311" s="31">
        <v>42261</v>
      </c>
      <c r="B311" s="31"/>
      <c r="C311" s="22">
        <f>ROUND(11.1355,4)</f>
        <v>11.1355</v>
      </c>
      <c r="D311" s="22">
        <f>F311</f>
        <v>11.7458</v>
      </c>
      <c r="E311" s="22">
        <f>F311</f>
        <v>11.7458</v>
      </c>
      <c r="F311" s="22">
        <f>ROUND(11.7458,4)</f>
        <v>11.7458</v>
      </c>
      <c r="G311" s="19"/>
      <c r="H311" s="29"/>
    </row>
    <row r="312" spans="1:8" ht="12.75" customHeight="1">
      <c r="A312" s="31" t="s">
        <v>82</v>
      </c>
      <c r="B312" s="31"/>
      <c r="C312" s="18"/>
      <c r="D312" s="18"/>
      <c r="E312" s="18"/>
      <c r="F312" s="18"/>
      <c r="G312" s="19"/>
      <c r="H312" s="29"/>
    </row>
    <row r="313" spans="1:8" ht="12.75" customHeight="1">
      <c r="A313" s="31">
        <v>41985</v>
      </c>
      <c r="B313" s="31"/>
      <c r="C313" s="22">
        <f aca="true" t="shared" si="12" ref="C313:C322">ROUND(11.1355,4)</f>
        <v>11.1355</v>
      </c>
      <c r="D313" s="22">
        <f aca="true" t="shared" si="13" ref="D313:D322">F313</f>
        <v>11.1943</v>
      </c>
      <c r="E313" s="22">
        <f aca="true" t="shared" si="14" ref="E313:E322">F313</f>
        <v>11.1943</v>
      </c>
      <c r="F313" s="22">
        <f>ROUND(11.1943,4)</f>
        <v>11.1943</v>
      </c>
      <c r="G313" s="19"/>
      <c r="H313" s="29"/>
    </row>
    <row r="314" spans="1:8" ht="12.75" customHeight="1">
      <c r="A314" s="31">
        <v>42079</v>
      </c>
      <c r="B314" s="31"/>
      <c r="C314" s="22">
        <f t="shared" si="12"/>
        <v>11.1355</v>
      </c>
      <c r="D314" s="22">
        <f t="shared" si="13"/>
        <v>11.3783</v>
      </c>
      <c r="E314" s="22">
        <f t="shared" si="14"/>
        <v>11.3783</v>
      </c>
      <c r="F314" s="22">
        <f>ROUND(11.3783,4)</f>
        <v>11.3783</v>
      </c>
      <c r="G314" s="19"/>
      <c r="H314" s="29"/>
    </row>
    <row r="315" spans="1:8" ht="12.75" customHeight="1">
      <c r="A315" s="31">
        <v>42167</v>
      </c>
      <c r="B315" s="31"/>
      <c r="C315" s="22">
        <f t="shared" si="12"/>
        <v>11.1355</v>
      </c>
      <c r="D315" s="22">
        <f t="shared" si="13"/>
        <v>11.5534</v>
      </c>
      <c r="E315" s="22">
        <f t="shared" si="14"/>
        <v>11.5534</v>
      </c>
      <c r="F315" s="22">
        <f>ROUND(11.5534,4)</f>
        <v>11.5534</v>
      </c>
      <c r="G315" s="19"/>
      <c r="H315" s="29"/>
    </row>
    <row r="316" spans="1:8" ht="12.75" customHeight="1">
      <c r="A316" s="31">
        <v>42261</v>
      </c>
      <c r="B316" s="31"/>
      <c r="C316" s="22">
        <f t="shared" si="12"/>
        <v>11.1355</v>
      </c>
      <c r="D316" s="22">
        <f t="shared" si="13"/>
        <v>11.7458</v>
      </c>
      <c r="E316" s="22">
        <f t="shared" si="14"/>
        <v>11.7458</v>
      </c>
      <c r="F316" s="22">
        <f>ROUND(11.7458,4)</f>
        <v>11.7458</v>
      </c>
      <c r="G316" s="19"/>
      <c r="H316" s="29"/>
    </row>
    <row r="317" spans="1:8" ht="12.75" customHeight="1">
      <c r="A317" s="31">
        <v>42349</v>
      </c>
      <c r="B317" s="31"/>
      <c r="C317" s="22">
        <f t="shared" si="12"/>
        <v>11.1355</v>
      </c>
      <c r="D317" s="22">
        <f t="shared" si="13"/>
        <v>11.93</v>
      </c>
      <c r="E317" s="22">
        <f t="shared" si="14"/>
        <v>11.93</v>
      </c>
      <c r="F317" s="22">
        <f>ROUND(11.93,4)</f>
        <v>11.93</v>
      </c>
      <c r="G317" s="19"/>
      <c r="H317" s="29"/>
    </row>
    <row r="318" spans="1:8" ht="12.75" customHeight="1">
      <c r="A318" s="31">
        <v>42443</v>
      </c>
      <c r="B318" s="31"/>
      <c r="C318" s="22">
        <f t="shared" si="12"/>
        <v>11.1355</v>
      </c>
      <c r="D318" s="22">
        <f t="shared" si="13"/>
        <v>12.1273</v>
      </c>
      <c r="E318" s="22">
        <f t="shared" si="14"/>
        <v>12.1273</v>
      </c>
      <c r="F318" s="22">
        <f>ROUND(12.1273,4)</f>
        <v>12.1273</v>
      </c>
      <c r="G318" s="19"/>
      <c r="H318" s="29"/>
    </row>
    <row r="319" spans="1:8" ht="12.75" customHeight="1">
      <c r="A319" s="31">
        <v>42534</v>
      </c>
      <c r="B319" s="31"/>
      <c r="C319" s="22">
        <f t="shared" si="12"/>
        <v>11.1355</v>
      </c>
      <c r="D319" s="22">
        <f t="shared" si="13"/>
        <v>12.3182</v>
      </c>
      <c r="E319" s="22">
        <f t="shared" si="14"/>
        <v>12.3182</v>
      </c>
      <c r="F319" s="22">
        <f>ROUND(12.3182,4)</f>
        <v>12.3182</v>
      </c>
      <c r="G319" s="19"/>
      <c r="H319" s="29"/>
    </row>
    <row r="320" spans="1:8" ht="12.75" customHeight="1">
      <c r="A320" s="31">
        <v>42632</v>
      </c>
      <c r="B320" s="31"/>
      <c r="C320" s="22">
        <f t="shared" si="12"/>
        <v>11.1355</v>
      </c>
      <c r="D320" s="22">
        <f t="shared" si="13"/>
        <v>12.5239</v>
      </c>
      <c r="E320" s="22">
        <f t="shared" si="14"/>
        <v>12.5239</v>
      </c>
      <c r="F320" s="22">
        <f>ROUND(12.5239,4)</f>
        <v>12.5239</v>
      </c>
      <c r="G320" s="19"/>
      <c r="H320" s="29"/>
    </row>
    <row r="321" spans="1:8" ht="12.75" customHeight="1">
      <c r="A321" s="31">
        <v>42723</v>
      </c>
      <c r="B321" s="31"/>
      <c r="C321" s="22">
        <f t="shared" si="12"/>
        <v>11.1355</v>
      </c>
      <c r="D321" s="22">
        <f t="shared" si="13"/>
        <v>12.7149</v>
      </c>
      <c r="E321" s="22">
        <f t="shared" si="14"/>
        <v>12.7149</v>
      </c>
      <c r="F321" s="22">
        <f>ROUND(12.7149,4)</f>
        <v>12.7149</v>
      </c>
      <c r="G321" s="19"/>
      <c r="H321" s="29"/>
    </row>
    <row r="322" spans="1:8" ht="12.75" customHeight="1">
      <c r="A322" s="31">
        <v>42807</v>
      </c>
      <c r="B322" s="31"/>
      <c r="C322" s="22">
        <f t="shared" si="12"/>
        <v>11.1355</v>
      </c>
      <c r="D322" s="22">
        <f t="shared" si="13"/>
        <v>12.8912</v>
      </c>
      <c r="E322" s="22">
        <f t="shared" si="14"/>
        <v>12.8912</v>
      </c>
      <c r="F322" s="22">
        <f>ROUND(12.8912,4)</f>
        <v>12.8912</v>
      </c>
      <c r="G322" s="19"/>
      <c r="H322" s="29"/>
    </row>
    <row r="323" spans="1:8" ht="12.75" customHeight="1">
      <c r="A323" s="31" t="s">
        <v>83</v>
      </c>
      <c r="B323" s="31"/>
      <c r="C323" s="18"/>
      <c r="D323" s="18"/>
      <c r="E323" s="18"/>
      <c r="F323" s="18"/>
      <c r="G323" s="19"/>
      <c r="H323" s="29"/>
    </row>
    <row r="324" spans="1:8" ht="12.75" customHeight="1">
      <c r="A324" s="31">
        <v>41985</v>
      </c>
      <c r="B324" s="31"/>
      <c r="C324" s="22">
        <f>ROUND(1.75611102349787,4)</f>
        <v>1.7561</v>
      </c>
      <c r="D324" s="22">
        <f>F324</f>
        <v>1.737</v>
      </c>
      <c r="E324" s="22">
        <f>F324</f>
        <v>1.737</v>
      </c>
      <c r="F324" s="22">
        <f>ROUND(1.737,4)</f>
        <v>1.737</v>
      </c>
      <c r="G324" s="19"/>
      <c r="H324" s="29"/>
    </row>
    <row r="325" spans="1:8" ht="12.75" customHeight="1">
      <c r="A325" s="31" t="s">
        <v>84</v>
      </c>
      <c r="B325" s="31"/>
      <c r="C325" s="18"/>
      <c r="D325" s="18"/>
      <c r="E325" s="18"/>
      <c r="F325" s="18"/>
      <c r="G325" s="19"/>
      <c r="H325" s="29"/>
    </row>
    <row r="326" spans="1:8" ht="12.75" customHeight="1">
      <c r="A326" s="31">
        <v>41949</v>
      </c>
      <c r="B326" s="31"/>
      <c r="C326" s="21">
        <f>ROUND(524.436,3)</f>
        <v>524.436</v>
      </c>
      <c r="D326" s="21">
        <f>F326</f>
        <v>524.871</v>
      </c>
      <c r="E326" s="21">
        <f>F326</f>
        <v>524.871</v>
      </c>
      <c r="F326" s="21">
        <f>ROUND(524.871,3)</f>
        <v>524.871</v>
      </c>
      <c r="G326" s="19"/>
      <c r="H326" s="29"/>
    </row>
    <row r="327" spans="1:8" ht="12.75" customHeight="1">
      <c r="A327" s="31">
        <v>42040</v>
      </c>
      <c r="B327" s="31"/>
      <c r="C327" s="21">
        <f>ROUND(524.436,3)</f>
        <v>524.436</v>
      </c>
      <c r="D327" s="21">
        <f>F327</f>
        <v>532.529</v>
      </c>
      <c r="E327" s="21">
        <f>F327</f>
        <v>532.529</v>
      </c>
      <c r="F327" s="21">
        <f>ROUND(532.529,3)</f>
        <v>532.529</v>
      </c>
      <c r="G327" s="19"/>
      <c r="H327" s="29"/>
    </row>
    <row r="328" spans="1:8" ht="12.75" customHeight="1">
      <c r="A328" s="31">
        <v>42131</v>
      </c>
      <c r="B328" s="31"/>
      <c r="C328" s="21">
        <f>ROUND(524.436,3)</f>
        <v>524.436</v>
      </c>
      <c r="D328" s="21">
        <f>F328</f>
        <v>541.558</v>
      </c>
      <c r="E328" s="21">
        <f>F328</f>
        <v>541.558</v>
      </c>
      <c r="F328" s="21">
        <f>ROUND(541.558,3)</f>
        <v>541.558</v>
      </c>
      <c r="G328" s="19"/>
      <c r="H328" s="29"/>
    </row>
    <row r="329" spans="1:8" ht="12.75" customHeight="1">
      <c r="A329" s="31">
        <v>42222</v>
      </c>
      <c r="B329" s="31"/>
      <c r="C329" s="21">
        <f>ROUND(524.436,3)</f>
        <v>524.436</v>
      </c>
      <c r="D329" s="21">
        <f>F329</f>
        <v>551.472</v>
      </c>
      <c r="E329" s="21">
        <f>F329</f>
        <v>551.472</v>
      </c>
      <c r="F329" s="21">
        <f>ROUND(551.472,3)</f>
        <v>551.472</v>
      </c>
      <c r="G329" s="19"/>
      <c r="H329" s="29"/>
    </row>
    <row r="330" spans="1:8" ht="12.75" customHeight="1">
      <c r="A330" s="31" t="s">
        <v>85</v>
      </c>
      <c r="B330" s="31"/>
      <c r="C330" s="18"/>
      <c r="D330" s="18"/>
      <c r="E330" s="18"/>
      <c r="F330" s="18"/>
      <c r="G330" s="19"/>
      <c r="H330" s="29"/>
    </row>
    <row r="331" spans="1:8" ht="12.75" customHeight="1">
      <c r="A331" s="31">
        <v>41949</v>
      </c>
      <c r="B331" s="31"/>
      <c r="C331" s="21">
        <f>ROUND(441.85,3)</f>
        <v>441.85</v>
      </c>
      <c r="D331" s="21">
        <f>F331</f>
        <v>442.038</v>
      </c>
      <c r="E331" s="21">
        <f>F331</f>
        <v>442.038</v>
      </c>
      <c r="F331" s="21">
        <f>ROUND(442.038,3)</f>
        <v>442.038</v>
      </c>
      <c r="G331" s="19"/>
      <c r="H331" s="29"/>
    </row>
    <row r="332" spans="1:8" ht="12.75" customHeight="1">
      <c r="A332" s="31">
        <v>42040</v>
      </c>
      <c r="B332" s="31"/>
      <c r="C332" s="21">
        <f>ROUND(441.85,3)</f>
        <v>441.85</v>
      </c>
      <c r="D332" s="21">
        <f>F332</f>
        <v>448.669</v>
      </c>
      <c r="E332" s="21">
        <f>F332</f>
        <v>448.669</v>
      </c>
      <c r="F332" s="21">
        <f>ROUND(448.669,3)</f>
        <v>448.669</v>
      </c>
      <c r="G332" s="19"/>
      <c r="H332" s="29"/>
    </row>
    <row r="333" spans="1:8" ht="12.75" customHeight="1">
      <c r="A333" s="31">
        <v>42131</v>
      </c>
      <c r="B333" s="31"/>
      <c r="C333" s="21">
        <f>ROUND(441.85,3)</f>
        <v>441.85</v>
      </c>
      <c r="D333" s="21">
        <f>F333</f>
        <v>456.275</v>
      </c>
      <c r="E333" s="21">
        <f>F333</f>
        <v>456.275</v>
      </c>
      <c r="F333" s="21">
        <f>ROUND(456.275,3)</f>
        <v>456.275</v>
      </c>
      <c r="G333" s="19"/>
      <c r="H333" s="29"/>
    </row>
    <row r="334" spans="1:8" ht="12.75" customHeight="1">
      <c r="A334" s="31">
        <v>42222</v>
      </c>
      <c r="B334" s="31"/>
      <c r="C334" s="21">
        <f>ROUND(441.85,3)</f>
        <v>441.85</v>
      </c>
      <c r="D334" s="21">
        <f>F334</f>
        <v>464.628</v>
      </c>
      <c r="E334" s="21">
        <f>F334</f>
        <v>464.628</v>
      </c>
      <c r="F334" s="21">
        <f>ROUND(464.628,3)</f>
        <v>464.628</v>
      </c>
      <c r="G334" s="19"/>
      <c r="H334" s="29"/>
    </row>
    <row r="335" spans="1:8" ht="12.75" customHeight="1">
      <c r="A335" s="31" t="s">
        <v>86</v>
      </c>
      <c r="B335" s="31"/>
      <c r="C335" s="18"/>
      <c r="D335" s="18"/>
      <c r="E335" s="18"/>
      <c r="F335" s="18"/>
      <c r="G335" s="19"/>
      <c r="H335" s="29"/>
    </row>
    <row r="336" spans="1:8" ht="12.75" customHeight="1">
      <c r="A336" s="31">
        <v>41949</v>
      </c>
      <c r="B336" s="31"/>
      <c r="C336" s="21">
        <f>ROUND(522.744,3)</f>
        <v>522.744</v>
      </c>
      <c r="D336" s="21">
        <f>F336</f>
        <v>522.937</v>
      </c>
      <c r="E336" s="21">
        <f>F336</f>
        <v>522.937</v>
      </c>
      <c r="F336" s="21">
        <f>ROUND(522.937,3)</f>
        <v>522.937</v>
      </c>
      <c r="G336" s="19"/>
      <c r="H336" s="29"/>
    </row>
    <row r="337" spans="1:8" ht="12.75" customHeight="1">
      <c r="A337" s="31">
        <v>42040</v>
      </c>
      <c r="B337" s="31"/>
      <c r="C337" s="21">
        <f>ROUND(522.744,3)</f>
        <v>522.744</v>
      </c>
      <c r="D337" s="21">
        <f>F337</f>
        <v>530.811</v>
      </c>
      <c r="E337" s="21">
        <f>F337</f>
        <v>530.811</v>
      </c>
      <c r="F337" s="21">
        <f>ROUND(530.811,3)</f>
        <v>530.811</v>
      </c>
      <c r="G337" s="19"/>
      <c r="H337" s="29"/>
    </row>
    <row r="338" spans="1:8" ht="12.75" customHeight="1">
      <c r="A338" s="31">
        <v>42131</v>
      </c>
      <c r="B338" s="31"/>
      <c r="C338" s="21">
        <f>ROUND(522.744,3)</f>
        <v>522.744</v>
      </c>
      <c r="D338" s="21">
        <f>F338</f>
        <v>539.81</v>
      </c>
      <c r="E338" s="21">
        <f>F338</f>
        <v>539.81</v>
      </c>
      <c r="F338" s="21">
        <f>ROUND(539.81,3)</f>
        <v>539.81</v>
      </c>
      <c r="G338" s="19"/>
      <c r="H338" s="29"/>
    </row>
    <row r="339" spans="1:8" ht="12.75" customHeight="1">
      <c r="A339" s="31">
        <v>42222</v>
      </c>
      <c r="B339" s="31"/>
      <c r="C339" s="21">
        <f>ROUND(522.744,3)</f>
        <v>522.744</v>
      </c>
      <c r="D339" s="21">
        <f>F339</f>
        <v>549.693</v>
      </c>
      <c r="E339" s="21">
        <f>F339</f>
        <v>549.693</v>
      </c>
      <c r="F339" s="21">
        <f>ROUND(549.693,3)</f>
        <v>549.693</v>
      </c>
      <c r="G339" s="19"/>
      <c r="H339" s="29"/>
    </row>
    <row r="340" spans="1:8" ht="12.75" customHeight="1">
      <c r="A340" s="31" t="s">
        <v>87</v>
      </c>
      <c r="B340" s="31"/>
      <c r="C340" s="18"/>
      <c r="D340" s="18"/>
      <c r="E340" s="18"/>
      <c r="F340" s="18"/>
      <c r="G340" s="19"/>
      <c r="H340" s="29"/>
    </row>
    <row r="341" spans="1:8" ht="12.75" customHeight="1">
      <c r="A341" s="31">
        <v>41949</v>
      </c>
      <c r="B341" s="31"/>
      <c r="C341" s="21">
        <f>ROUND(475.497,3)</f>
        <v>475.497</v>
      </c>
      <c r="D341" s="21">
        <f>F341</f>
        <v>475.79</v>
      </c>
      <c r="E341" s="21">
        <f>F341</f>
        <v>475.79</v>
      </c>
      <c r="F341" s="21">
        <f>ROUND(475.79,3)</f>
        <v>475.79</v>
      </c>
      <c r="G341" s="19"/>
      <c r="H341" s="29"/>
    </row>
    <row r="342" spans="1:8" ht="12.75" customHeight="1">
      <c r="A342" s="31">
        <v>42040</v>
      </c>
      <c r="B342" s="31"/>
      <c r="C342" s="21">
        <f>ROUND(475.497,3)</f>
        <v>475.497</v>
      </c>
      <c r="D342" s="21">
        <f>F342</f>
        <v>482.835</v>
      </c>
      <c r="E342" s="21">
        <f>F342</f>
        <v>482.835</v>
      </c>
      <c r="F342" s="21">
        <f>ROUND(482.835,3)</f>
        <v>482.835</v>
      </c>
      <c r="G342" s="19"/>
      <c r="H342" s="29"/>
    </row>
    <row r="343" spans="1:8" ht="12.75" customHeight="1">
      <c r="A343" s="31">
        <v>42131</v>
      </c>
      <c r="B343" s="31"/>
      <c r="C343" s="21">
        <f>ROUND(475.497,3)</f>
        <v>475.497</v>
      </c>
      <c r="D343" s="21">
        <f>F343</f>
        <v>491.021</v>
      </c>
      <c r="E343" s="21">
        <f>F343</f>
        <v>491.021</v>
      </c>
      <c r="F343" s="21">
        <f>ROUND(491.021,3)</f>
        <v>491.021</v>
      </c>
      <c r="G343" s="19"/>
      <c r="H343" s="29"/>
    </row>
    <row r="344" spans="1:8" ht="12.75" customHeight="1">
      <c r="A344" s="31">
        <v>42222</v>
      </c>
      <c r="B344" s="31"/>
      <c r="C344" s="21">
        <f>ROUND(475.497,3)</f>
        <v>475.497</v>
      </c>
      <c r="D344" s="21">
        <f>F344</f>
        <v>500.01</v>
      </c>
      <c r="E344" s="21">
        <f>F344</f>
        <v>500.01</v>
      </c>
      <c r="F344" s="21">
        <f>ROUND(500.01,3)</f>
        <v>500.01</v>
      </c>
      <c r="G344" s="19"/>
      <c r="H344" s="29"/>
    </row>
    <row r="345" spans="1:8" ht="12.75" customHeight="1">
      <c r="A345" s="31" t="s">
        <v>88</v>
      </c>
      <c r="B345" s="31"/>
      <c r="C345" s="18"/>
      <c r="D345" s="18"/>
      <c r="E345" s="18"/>
      <c r="F345" s="18"/>
      <c r="G345" s="19"/>
      <c r="H345" s="29"/>
    </row>
    <row r="346" spans="1:8" ht="12.75" customHeight="1">
      <c r="A346" s="31">
        <v>41949</v>
      </c>
      <c r="B346" s="31"/>
      <c r="C346" s="21">
        <f>ROUND(221.7332409574,3)</f>
        <v>221.733</v>
      </c>
      <c r="D346" s="21">
        <f>F346</f>
        <v>221.76</v>
      </c>
      <c r="E346" s="21">
        <f>F346</f>
        <v>221.76</v>
      </c>
      <c r="F346" s="21">
        <f>ROUND(221.76,3)</f>
        <v>221.76</v>
      </c>
      <c r="G346" s="19"/>
      <c r="H346" s="29"/>
    </row>
    <row r="347" spans="1:8" ht="12.75" customHeight="1">
      <c r="A347" s="31">
        <v>42040</v>
      </c>
      <c r="B347" s="31"/>
      <c r="C347" s="21">
        <f>ROUND(221.7332409574,3)</f>
        <v>221.733</v>
      </c>
      <c r="D347" s="21">
        <f>F347</f>
        <v>225.183</v>
      </c>
      <c r="E347" s="21">
        <f>F347</f>
        <v>225.183</v>
      </c>
      <c r="F347" s="21">
        <f>ROUND(225.183,3)</f>
        <v>225.183</v>
      </c>
      <c r="G347" s="19"/>
      <c r="H347" s="29"/>
    </row>
    <row r="348" spans="1:8" ht="12.75" customHeight="1">
      <c r="A348" s="31">
        <v>42131</v>
      </c>
      <c r="B348" s="31"/>
      <c r="C348" s="21">
        <f>ROUND(221.7332409574,3)</f>
        <v>221.733</v>
      </c>
      <c r="D348" s="21">
        <f>F348</f>
        <v>229.028</v>
      </c>
      <c r="E348" s="21">
        <f>F348</f>
        <v>229.028</v>
      </c>
      <c r="F348" s="21">
        <f>ROUND(229.028,3)</f>
        <v>229.028</v>
      </c>
      <c r="G348" s="19"/>
      <c r="H348" s="29"/>
    </row>
    <row r="349" spans="1:8" ht="12.75" customHeight="1">
      <c r="A349" s="31">
        <v>42222</v>
      </c>
      <c r="B349" s="31"/>
      <c r="C349" s="21">
        <f>ROUND(221.7332409574,3)</f>
        <v>221.733</v>
      </c>
      <c r="D349" s="21">
        <f>F349</f>
        <v>233.247</v>
      </c>
      <c r="E349" s="21">
        <f>F349</f>
        <v>233.247</v>
      </c>
      <c r="F349" s="21">
        <f>ROUND(233.247,3)</f>
        <v>233.247</v>
      </c>
      <c r="G349" s="19"/>
      <c r="H349" s="29"/>
    </row>
    <row r="350" spans="1:8" ht="12.75" customHeight="1">
      <c r="A350" s="31" t="s">
        <v>89</v>
      </c>
      <c r="B350" s="31"/>
      <c r="C350" s="18"/>
      <c r="D350" s="18"/>
      <c r="E350" s="18"/>
      <c r="F350" s="18"/>
      <c r="G350" s="19"/>
      <c r="H350" s="29"/>
    </row>
    <row r="351" spans="1:8" ht="12.75" customHeight="1">
      <c r="A351" s="31">
        <v>41949</v>
      </c>
      <c r="B351" s="31"/>
      <c r="C351" s="21">
        <f>ROUND(601.625187053274,3)</f>
        <v>601.625</v>
      </c>
      <c r="D351" s="21">
        <f>F351</f>
        <v>600.877</v>
      </c>
      <c r="E351" s="21">
        <f>F351</f>
        <v>600.877</v>
      </c>
      <c r="F351" s="21">
        <f>ROUND(600.877,3)</f>
        <v>600.877</v>
      </c>
      <c r="G351" s="19"/>
      <c r="H351" s="29"/>
    </row>
    <row r="352" spans="1:8" ht="12.75" customHeight="1">
      <c r="A352" s="31">
        <v>42040</v>
      </c>
      <c r="B352" s="31"/>
      <c r="C352" s="21">
        <f>ROUND(601.625187053274,3)</f>
        <v>601.625</v>
      </c>
      <c r="D352" s="21">
        <f>F352</f>
        <v>611.083</v>
      </c>
      <c r="E352" s="21">
        <f>F352</f>
        <v>611.083</v>
      </c>
      <c r="F352" s="21">
        <f>ROUND(611.083,3)</f>
        <v>611.083</v>
      </c>
      <c r="G352" s="19"/>
      <c r="H352" s="29"/>
    </row>
    <row r="353" spans="1:8" ht="12.75" customHeight="1">
      <c r="A353" s="31">
        <v>42131</v>
      </c>
      <c r="B353" s="31"/>
      <c r="C353" s="21">
        <f>ROUND(601.625187053274,3)</f>
        <v>601.625</v>
      </c>
      <c r="D353" s="21">
        <f>F353</f>
        <v>621.757</v>
      </c>
      <c r="E353" s="21">
        <f>F353</f>
        <v>621.757</v>
      </c>
      <c r="F353" s="21">
        <f>ROUND(621.757,3)</f>
        <v>621.757</v>
      </c>
      <c r="G353" s="19"/>
      <c r="H353" s="29"/>
    </row>
    <row r="354" spans="1:8" ht="12.75" customHeight="1">
      <c r="A354" s="31">
        <v>42222</v>
      </c>
      <c r="B354" s="31"/>
      <c r="C354" s="21">
        <f>ROUND(601.625187053274,3)</f>
        <v>601.625</v>
      </c>
      <c r="D354" s="21">
        <f>F354</f>
        <v>633.619</v>
      </c>
      <c r="E354" s="21">
        <f>F354</f>
        <v>633.619</v>
      </c>
      <c r="F354" s="21">
        <f>ROUND(633.619,3)</f>
        <v>633.619</v>
      </c>
      <c r="G354" s="19"/>
      <c r="H354" s="29"/>
    </row>
    <row r="355" spans="1:8" ht="12.75" customHeight="1">
      <c r="A355" s="31" t="s">
        <v>90</v>
      </c>
      <c r="B355" s="31"/>
      <c r="C355" s="18"/>
      <c r="D355" s="18"/>
      <c r="E355" s="18"/>
      <c r="F355" s="18"/>
      <c r="G355" s="19"/>
      <c r="H355" s="29"/>
    </row>
    <row r="356" spans="1:8" ht="12.75" customHeight="1">
      <c r="A356" s="31">
        <v>41985</v>
      </c>
      <c r="B356" s="31"/>
      <c r="C356" s="19">
        <f>ROUND(20835.36,2)</f>
        <v>20835.36</v>
      </c>
      <c r="D356" s="19">
        <f>F356</f>
        <v>20918.91</v>
      </c>
      <c r="E356" s="19">
        <f>F356</f>
        <v>20918.91</v>
      </c>
      <c r="F356" s="19">
        <f>ROUND(20918.91,2)</f>
        <v>20918.91</v>
      </c>
      <c r="G356" s="19"/>
      <c r="H356" s="29"/>
    </row>
    <row r="357" spans="1:8" ht="12.75" customHeight="1">
      <c r="A357" s="31">
        <v>42079</v>
      </c>
      <c r="B357" s="31"/>
      <c r="C357" s="19">
        <f>ROUND(20835.36,2)</f>
        <v>20835.36</v>
      </c>
      <c r="D357" s="19">
        <f>F357</f>
        <v>21228.39</v>
      </c>
      <c r="E357" s="19">
        <f>F357</f>
        <v>21228.39</v>
      </c>
      <c r="F357" s="19">
        <f>ROUND(21228.39,2)</f>
        <v>21228.39</v>
      </c>
      <c r="G357" s="19"/>
      <c r="H357" s="29"/>
    </row>
    <row r="358" spans="1:8" ht="12.75" customHeight="1">
      <c r="A358" s="31">
        <v>42167</v>
      </c>
      <c r="B358" s="31"/>
      <c r="C358" s="19">
        <f>ROUND(20835.36,2)</f>
        <v>20835.36</v>
      </c>
      <c r="D358" s="19">
        <f>F358</f>
        <v>21528.48</v>
      </c>
      <c r="E358" s="19">
        <f>F358</f>
        <v>21528.48</v>
      </c>
      <c r="F358" s="19">
        <f>ROUND(21528.48,2)</f>
        <v>21528.48</v>
      </c>
      <c r="G358" s="19"/>
      <c r="H358" s="29"/>
    </row>
    <row r="359" spans="1:8" ht="12.75" customHeight="1">
      <c r="A359" s="31" t="s">
        <v>91</v>
      </c>
      <c r="B359" s="31"/>
      <c r="C359" s="18"/>
      <c r="D359" s="18"/>
      <c r="E359" s="18"/>
      <c r="F359" s="18"/>
      <c r="G359" s="19"/>
      <c r="H359" s="29"/>
    </row>
    <row r="360" spans="1:8" ht="12.75" customHeight="1">
      <c r="A360" s="31">
        <v>41962</v>
      </c>
      <c r="B360" s="31"/>
      <c r="C360" s="21">
        <f aca="true" t="shared" si="15" ref="C360:C371">ROUND(6.075,3)</f>
        <v>6.075</v>
      </c>
      <c r="D360" s="21">
        <f>ROUND(6.16,3)</f>
        <v>6.16</v>
      </c>
      <c r="E360" s="21">
        <f>ROUND(6.06,3)</f>
        <v>6.06</v>
      </c>
      <c r="F360" s="21">
        <f>ROUND(6.11,3)</f>
        <v>6.11</v>
      </c>
      <c r="G360" s="19"/>
      <c r="H360" s="29"/>
    </row>
    <row r="361" spans="1:8" ht="12.75" customHeight="1">
      <c r="A361" s="31">
        <v>41990</v>
      </c>
      <c r="B361" s="31"/>
      <c r="C361" s="21">
        <f t="shared" si="15"/>
        <v>6.075</v>
      </c>
      <c r="D361" s="21">
        <f>ROUND(6.22,3)</f>
        <v>6.22</v>
      </c>
      <c r="E361" s="21">
        <f>ROUND(6.12,3)</f>
        <v>6.12</v>
      </c>
      <c r="F361" s="21">
        <f>ROUND(6.17,3)</f>
        <v>6.17</v>
      </c>
      <c r="G361" s="19"/>
      <c r="H361" s="29"/>
    </row>
    <row r="362" spans="1:8" ht="12.75" customHeight="1">
      <c r="A362" s="31">
        <v>42025</v>
      </c>
      <c r="B362" s="31"/>
      <c r="C362" s="21">
        <f t="shared" si="15"/>
        <v>6.075</v>
      </c>
      <c r="D362" s="21">
        <f>ROUND(6.29,3)</f>
        <v>6.29</v>
      </c>
      <c r="E362" s="21">
        <f>ROUND(6.19,3)</f>
        <v>6.19</v>
      </c>
      <c r="F362" s="21">
        <f>ROUND(6.24,3)</f>
        <v>6.24</v>
      </c>
      <c r="G362" s="19"/>
      <c r="H362" s="29"/>
    </row>
    <row r="363" spans="1:8" ht="12.75" customHeight="1">
      <c r="A363" s="31">
        <v>42053</v>
      </c>
      <c r="B363" s="31"/>
      <c r="C363" s="21">
        <f t="shared" si="15"/>
        <v>6.075</v>
      </c>
      <c r="D363" s="21">
        <f>ROUND(6.36,3)</f>
        <v>6.36</v>
      </c>
      <c r="E363" s="21">
        <f>ROUND(6.26,3)</f>
        <v>6.26</v>
      </c>
      <c r="F363" s="21">
        <f>ROUND(6.31,3)</f>
        <v>6.31</v>
      </c>
      <c r="G363" s="19"/>
      <c r="H363" s="29"/>
    </row>
    <row r="364" spans="1:8" ht="12.75" customHeight="1">
      <c r="A364" s="31">
        <v>42081</v>
      </c>
      <c r="B364" s="31"/>
      <c r="C364" s="21">
        <f t="shared" si="15"/>
        <v>6.075</v>
      </c>
      <c r="D364" s="21">
        <f>ROUND(6.41,3)</f>
        <v>6.41</v>
      </c>
      <c r="E364" s="21">
        <f>ROUND(6.31,3)</f>
        <v>6.31</v>
      </c>
      <c r="F364" s="21">
        <f>ROUND(6.36,3)</f>
        <v>6.36</v>
      </c>
      <c r="G364" s="19"/>
      <c r="H364" s="29"/>
    </row>
    <row r="365" spans="1:8" ht="12.75" customHeight="1">
      <c r="A365" s="31">
        <v>42109</v>
      </c>
      <c r="B365" s="31"/>
      <c r="C365" s="21">
        <f t="shared" si="15"/>
        <v>6.075</v>
      </c>
      <c r="D365" s="21">
        <f>ROUND(6.48,3)</f>
        <v>6.48</v>
      </c>
      <c r="E365" s="21">
        <f>ROUND(6.38,3)</f>
        <v>6.38</v>
      </c>
      <c r="F365" s="21">
        <f>ROUND(6.43,3)</f>
        <v>6.43</v>
      </c>
      <c r="G365" s="19"/>
      <c r="H365" s="29"/>
    </row>
    <row r="366" spans="1:8" ht="12.75" customHeight="1">
      <c r="A366" s="31">
        <v>42172</v>
      </c>
      <c r="B366" s="31"/>
      <c r="C366" s="21">
        <f t="shared" si="15"/>
        <v>6.075</v>
      </c>
      <c r="D366" s="21">
        <f>ROUND(6.61,3)</f>
        <v>6.61</v>
      </c>
      <c r="E366" s="21">
        <f>ROUND(6.51,3)</f>
        <v>6.51</v>
      </c>
      <c r="F366" s="21">
        <f>ROUND(6.56,3)</f>
        <v>6.56</v>
      </c>
      <c r="G366" s="19"/>
      <c r="H366" s="29"/>
    </row>
    <row r="367" spans="1:8" ht="12.75" customHeight="1">
      <c r="A367" s="31">
        <v>42263</v>
      </c>
      <c r="B367" s="31"/>
      <c r="C367" s="21">
        <f t="shared" si="15"/>
        <v>6.075</v>
      </c>
      <c r="D367" s="21">
        <f>ROUND(6.81,3)</f>
        <v>6.81</v>
      </c>
      <c r="E367" s="21">
        <f>ROUND(6.71,3)</f>
        <v>6.71</v>
      </c>
      <c r="F367" s="21">
        <f>ROUND(6.76,3)</f>
        <v>6.76</v>
      </c>
      <c r="G367" s="19"/>
      <c r="H367" s="29"/>
    </row>
    <row r="368" spans="1:8" ht="12.75" customHeight="1">
      <c r="A368" s="31">
        <v>42353</v>
      </c>
      <c r="B368" s="31"/>
      <c r="C368" s="21">
        <f t="shared" si="15"/>
        <v>6.075</v>
      </c>
      <c r="D368" s="21">
        <f>ROUND(6.95,3)</f>
        <v>6.95</v>
      </c>
      <c r="E368" s="21">
        <f>ROUND(6.85,3)</f>
        <v>6.85</v>
      </c>
      <c r="F368" s="21">
        <f>ROUND(6.9,3)</f>
        <v>6.9</v>
      </c>
      <c r="G368" s="19"/>
      <c r="H368" s="29"/>
    </row>
    <row r="369" spans="1:8" ht="12.75" customHeight="1">
      <c r="A369" s="31">
        <v>42445</v>
      </c>
      <c r="B369" s="31"/>
      <c r="C369" s="21">
        <f t="shared" si="15"/>
        <v>6.075</v>
      </c>
      <c r="D369" s="21">
        <f>ROUND(7.09,3)</f>
        <v>7.09</v>
      </c>
      <c r="E369" s="21">
        <f>ROUND(6.99,3)</f>
        <v>6.99</v>
      </c>
      <c r="F369" s="21">
        <f>ROUND(7.04,3)</f>
        <v>7.04</v>
      </c>
      <c r="G369" s="19"/>
      <c r="H369" s="29"/>
    </row>
    <row r="370" spans="1:8" ht="12.75" customHeight="1">
      <c r="A370" s="31">
        <v>42536</v>
      </c>
      <c r="B370" s="31"/>
      <c r="C370" s="21">
        <f t="shared" si="15"/>
        <v>6.075</v>
      </c>
      <c r="D370" s="21">
        <f>ROUND(7.21,3)</f>
        <v>7.21</v>
      </c>
      <c r="E370" s="21">
        <f>ROUND(7.11,3)</f>
        <v>7.11</v>
      </c>
      <c r="F370" s="21">
        <f>ROUND(7.16,3)</f>
        <v>7.16</v>
      </c>
      <c r="G370" s="19"/>
      <c r="H370" s="29"/>
    </row>
    <row r="371" spans="1:8" ht="12.75" customHeight="1">
      <c r="A371" s="31">
        <v>42634</v>
      </c>
      <c r="B371" s="31"/>
      <c r="C371" s="21">
        <f t="shared" si="15"/>
        <v>6.075</v>
      </c>
      <c r="D371" s="21">
        <f>ROUND(7.34,3)</f>
        <v>7.34</v>
      </c>
      <c r="E371" s="21">
        <f>ROUND(7.24,3)</f>
        <v>7.24</v>
      </c>
      <c r="F371" s="21">
        <f>ROUND(7.29,3)</f>
        <v>7.29</v>
      </c>
      <c r="G371" s="19"/>
      <c r="H371" s="29"/>
    </row>
    <row r="372" spans="1:8" ht="12.75" customHeight="1">
      <c r="A372" s="31" t="s">
        <v>92</v>
      </c>
      <c r="B372" s="31"/>
      <c r="C372" s="18"/>
      <c r="D372" s="18"/>
      <c r="E372" s="18"/>
      <c r="F372" s="18"/>
      <c r="G372" s="19"/>
      <c r="H372" s="29"/>
    </row>
    <row r="373" spans="1:8" ht="12.75" customHeight="1">
      <c r="A373" s="31">
        <v>41949</v>
      </c>
      <c r="B373" s="31"/>
      <c r="C373" s="21">
        <f>ROUND(473.881,3)</f>
        <v>473.881</v>
      </c>
      <c r="D373" s="21">
        <f>F373</f>
        <v>474.166</v>
      </c>
      <c r="E373" s="21">
        <f>F373</f>
        <v>474.166</v>
      </c>
      <c r="F373" s="21">
        <f>ROUND(474.166,3)</f>
        <v>474.166</v>
      </c>
      <c r="G373" s="19"/>
      <c r="H373" s="29"/>
    </row>
    <row r="374" spans="1:8" ht="12.75" customHeight="1">
      <c r="A374" s="31">
        <v>42040</v>
      </c>
      <c r="B374" s="31"/>
      <c r="C374" s="21">
        <f>ROUND(473.881,3)</f>
        <v>473.881</v>
      </c>
      <c r="D374" s="21">
        <f>F374</f>
        <v>481.194</v>
      </c>
      <c r="E374" s="21">
        <f>F374</f>
        <v>481.194</v>
      </c>
      <c r="F374" s="21">
        <f>ROUND(481.194,3)</f>
        <v>481.194</v>
      </c>
      <c r="G374" s="19"/>
      <c r="H374" s="29"/>
    </row>
    <row r="375" spans="1:8" ht="12.75" customHeight="1">
      <c r="A375" s="31">
        <v>42131</v>
      </c>
      <c r="B375" s="31"/>
      <c r="C375" s="21">
        <f>ROUND(473.881,3)</f>
        <v>473.881</v>
      </c>
      <c r="D375" s="21">
        <f>F375</f>
        <v>489.352</v>
      </c>
      <c r="E375" s="21">
        <f>F375</f>
        <v>489.352</v>
      </c>
      <c r="F375" s="21">
        <f>ROUND(489.352,3)</f>
        <v>489.352</v>
      </c>
      <c r="G375" s="19"/>
      <c r="H375" s="29"/>
    </row>
    <row r="376" spans="1:8" ht="12.75" customHeight="1" thickBot="1">
      <c r="A376" s="32">
        <v>42222</v>
      </c>
      <c r="B376" s="32"/>
      <c r="C376" s="26">
        <f>ROUND(473.881,3)</f>
        <v>473.881</v>
      </c>
      <c r="D376" s="26">
        <f>F376</f>
        <v>498.311</v>
      </c>
      <c r="E376" s="26">
        <f>F376</f>
        <v>498.311</v>
      </c>
      <c r="F376" s="26">
        <f>ROUND(498.311,3)</f>
        <v>498.311</v>
      </c>
      <c r="G376" s="27"/>
      <c r="H376" s="30"/>
    </row>
  </sheetData>
  <sheetProtection/>
  <mergeCells count="375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74:B374"/>
    <mergeCell ref="A375:B375"/>
    <mergeCell ref="A376:B376"/>
    <mergeCell ref="A368:B368"/>
    <mergeCell ref="A369:B369"/>
    <mergeCell ref="A370:B370"/>
    <mergeCell ref="A371:B371"/>
    <mergeCell ref="A372:B372"/>
    <mergeCell ref="A373:B37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2014-11-06T16:03:49Z</dcterms:modified>
  <cp:category/>
  <cp:version/>
  <cp:contentType/>
  <cp:contentStatus/>
</cp:coreProperties>
</file>