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35" windowWidth="11940" windowHeight="9000" tabRatio="989" activeTab="0"/>
  </bookViews>
  <sheets>
    <sheet name="Instructions" sheetId="1" r:id="rId1"/>
    <sheet name="Summary" sheetId="2" r:id="rId2"/>
    <sheet name="Initial Capital Req" sheetId="3" r:id="rId3"/>
    <sheet name="Own Funds" sheetId="4" r:id="rId4"/>
    <sheet name="Annual Oper costs" sheetId="5" r:id="rId5"/>
    <sheet name="PRR Election" sheetId="6" r:id="rId6"/>
    <sheet name="Simple Method" sheetId="7" r:id="rId7"/>
    <sheet name="BB Loan Securities" sheetId="8" r:id="rId8"/>
    <sheet name="Sheet1" sheetId="9" r:id="rId9"/>
    <sheet name="BB Securities etc" sheetId="10" r:id="rId10"/>
    <sheet name="Counterparty Risk Reqt" sheetId="11" r:id="rId11"/>
    <sheet name="Large Exposure Req't" sheetId="12" r:id="rId12"/>
    <sheet name="Forex Req't" sheetId="13" r:id="rId13"/>
    <sheet name=" BBLS sum" sheetId="14" r:id="rId14"/>
    <sheet name="BBLS Maturity Base" sheetId="15" r:id="rId15"/>
  </sheets>
  <externalReferences>
    <externalReference r:id="rId18"/>
  </externalReferences>
  <definedNames>
    <definedName name="CpnGE3">#REF!</definedName>
    <definedName name="CpnLT3">#REF!</definedName>
    <definedName name="EFFDATE">#REF!</definedName>
    <definedName name="Expos">'Large Exposure Req''t'!$G$8:$G$11</definedName>
    <definedName name="LERFlag">'Large Exposure Req''t'!$B$22</definedName>
    <definedName name="MatWts">#REF!</definedName>
    <definedName name="MatZones">#REF!</definedName>
    <definedName name="_xlnm.Print_Area" localSheetId="9">'BB Securities etc'!$A$1:$G$53</definedName>
    <definedName name="_xlnm.Print_Area" localSheetId="12">'Forex Req''t'!$A$1:$I$27</definedName>
    <definedName name="_xlnm.Print_Area" localSheetId="0">'Instructions'!$A$1:$M$109</definedName>
    <definedName name="Reqts">'Large Exposure Req''t'!$H$8:$H$11</definedName>
    <definedName name="sNames">'Large Exposure Req''t'!$O$8:$O$11</definedName>
    <definedName name="sss">'Sheet1'!$BD$5:$BD$17</definedName>
  </definedNames>
  <calcPr fullCalcOnLoad="1"/>
</workbook>
</file>

<file path=xl/comments10.xml><?xml version="1.0" encoding="utf-8"?>
<comments xmlns="http://schemas.openxmlformats.org/spreadsheetml/2006/main">
  <authors>
    <author>A satisfied Microsoft Office user</author>
  </authors>
  <commentList>
    <comment ref="B5" authorId="0">
      <text>
        <r>
          <rPr>
            <sz val="8"/>
            <rFont val="Tahoma"/>
            <family val="0"/>
          </rPr>
          <t>The Resolutions do not state the basis upon which equities are to be classified as Liquid, Normal or Illiquid.</t>
        </r>
      </text>
    </comment>
    <comment ref="A6" authorId="0">
      <text>
        <r>
          <rPr>
            <sz val="8"/>
            <rFont val="Tahoma"/>
            <family val="0"/>
          </rPr>
          <t xml:space="preserve">Positions in individual equities are calculated as the net of the Rand values of the long or short positions in the same equity. They are then aggregated separately to give the Long and Short Positions in each liquidity category.
The delta equivalents of positions in derivative instruments may be included in this calculation as Liquid Equities. In this case, and to the extent that derivative positions are exploded into their underlying equities, they may not appear as separate positions under ALSI, INDI and GLDI below.
Where equities have been underwritten, proceed as follows:
1. Before "working day 0" (the day on which the member becomes unconditionally committed to accepting a known quantity of equities at an agreed price): Requirement to be determined by the Executive Committee; presently zero.
2. Thereafter, the net position (underwriting commitment less shares sub-underwritten or subscribed for) shall be treated as a long position in the equity, with the following allowances in working days 0-5:
        Working Day        % Reduction
               0                          100
               1                            90
            2 &amp; 3                         75
               4                            50
               5                            25
          thereafter                       0
</t>
        </r>
      </text>
    </comment>
    <comment ref="D6" authorId="0">
      <text>
        <r>
          <rPr>
            <sz val="8"/>
            <rFont val="Tahoma"/>
            <family val="0"/>
          </rPr>
          <t>Positions in individual equities are calculated as the net of the Rand values of the long or short positions in the same equity. They are then aggregated separately to give the Long and Short Positions in each liquidity category.
The delta equivalents of positions in derivative instruments may be included in this calculation as Liquid Equities. In this case, and to the extent that derivative positions are exploded into their underlying equities, they may not appear as separate positions under ALSI, INDI and GLDI below.</t>
        </r>
      </text>
    </comment>
    <comment ref="F6" authorId="0">
      <text>
        <r>
          <rPr>
            <sz val="8"/>
            <rFont val="Tahoma"/>
            <family val="0"/>
          </rPr>
          <t>Positions in individual equities are calculated as the net of the Rand values of the long or short positions in the same equity. They are then aggregated separately to give the Long and Short Positions in each liquidity category.
The delta equivalents of positions in derivative instruments may be included in this calculation as Liquid Equities. In this case, and to the extent that derivative positions are exploded into their underlying equities, they may not appear as separate positions under ALSI, INDI and GLDI below.</t>
        </r>
      </text>
    </comment>
    <comment ref="A13" authorId="0">
      <text>
        <r>
          <rPr>
            <sz val="8"/>
            <rFont val="Tahoma"/>
            <family val="0"/>
          </rPr>
          <t>Both Mining and other shares have the same set of percentage capital requirements for the different liquidity categories.</t>
        </r>
      </text>
    </comment>
    <comment ref="A21" authorId="0">
      <text>
        <r>
          <rPr>
            <sz val="8"/>
            <rFont val="Tahoma"/>
            <family val="0"/>
          </rPr>
          <t>Positions in Share-Index Futures must be calculated as the Rand values of the contracts, with options on futures being valued as their delta-weighted equivalents.
Different expiry months may be set off against each other; hence these positions will always be either long or short, never both.</t>
        </r>
      </text>
    </comment>
  </commentList>
</comments>
</file>

<file path=xl/comments11.xml><?xml version="1.0" encoding="utf-8"?>
<comments xmlns="http://schemas.openxmlformats.org/spreadsheetml/2006/main">
  <authors>
    <author>A satisfied Microsoft Office user</author>
    <author>Enoch Xaba</author>
  </authors>
  <commentList>
    <comment ref="A4" authorId="0">
      <text>
        <r>
          <rPr>
            <sz val="8"/>
            <rFont val="Tahoma"/>
            <family val="0"/>
          </rPr>
          <t>Potential loss positions only. 
Potential profits may be offset against potential losses</t>
        </r>
      </text>
    </comment>
    <comment ref="D6" authorId="0">
      <text>
        <r>
          <rPr>
            <sz val="8"/>
            <rFont val="Tahoma"/>
            <family val="0"/>
          </rPr>
          <t>Nil %</t>
        </r>
      </text>
    </comment>
    <comment ref="D7" authorId="0">
      <text>
        <r>
          <rPr>
            <sz val="8"/>
            <rFont val="Tahoma"/>
            <family val="0"/>
          </rPr>
          <t>50% of difference</t>
        </r>
      </text>
    </comment>
    <comment ref="D8" authorId="0">
      <text>
        <r>
          <rPr>
            <sz val="8"/>
            <rFont val="Tahoma"/>
            <family val="0"/>
          </rPr>
          <t>100% of difference</t>
        </r>
      </text>
    </comment>
    <comment ref="D12" authorId="0">
      <text>
        <r>
          <rPr>
            <sz val="8"/>
            <rFont val="Tahoma"/>
            <family val="0"/>
          </rPr>
          <t>100% of purchase price</t>
        </r>
      </text>
    </comment>
    <comment ref="D13" authorId="0">
      <text>
        <r>
          <rPr>
            <sz val="8"/>
            <rFont val="Tahoma"/>
            <family val="0"/>
          </rPr>
          <t>100% of difference</t>
        </r>
      </text>
    </comment>
    <comment ref="A15" authorId="0">
      <text>
        <r>
          <rPr>
            <sz val="8"/>
            <rFont val="Tahoma"/>
            <family val="0"/>
          </rPr>
          <t>Definition :
- takes place when before seller or agency broker receives payment or
- payment made in settlement of a credit balance arising from a sale on behalf of a counterparty or a purchase from a counterparty in respect of which the securities are undelivered.</t>
        </r>
      </text>
    </comment>
    <comment ref="D17" authorId="0">
      <text>
        <r>
          <rPr>
            <sz val="8"/>
            <rFont val="Tahoma"/>
            <family val="0"/>
          </rPr>
          <t>100% of amount due</t>
        </r>
      </text>
    </comment>
    <comment ref="D18" authorId="0">
      <text>
        <r>
          <rPr>
            <sz val="8"/>
            <rFont val="Tahoma"/>
            <family val="0"/>
          </rPr>
          <t>100% of market value</t>
        </r>
      </text>
    </comment>
    <comment ref="D21" authorId="0">
      <text>
        <r>
          <rPr>
            <sz val="8"/>
            <rFont val="Tahoma"/>
            <family val="0"/>
          </rPr>
          <t>100% of market value</t>
        </r>
      </text>
    </comment>
    <comment ref="D24" authorId="0">
      <text>
        <r>
          <rPr>
            <sz val="8"/>
            <rFont val="Tahoma"/>
            <family val="0"/>
          </rPr>
          <t>100% of market value</t>
        </r>
      </text>
    </comment>
    <comment ref="A26" authorId="0">
      <text>
        <r>
          <rPr>
            <sz val="8"/>
            <rFont val="Tahoma"/>
            <family val="0"/>
          </rPr>
          <t>Potential loss positions only. 
Potential profits may be offset against potential losses</t>
        </r>
      </text>
    </comment>
    <comment ref="D27" authorId="0">
      <text>
        <r>
          <rPr>
            <sz val="8"/>
            <rFont val="Tahoma"/>
            <family val="0"/>
          </rPr>
          <t>100% of difference</t>
        </r>
      </text>
    </comment>
    <comment ref="D28" authorId="0">
      <text>
        <r>
          <rPr>
            <sz val="8"/>
            <rFont val="Tahoma"/>
            <family val="0"/>
          </rPr>
          <t>100% of premium</t>
        </r>
      </text>
    </comment>
    <comment ref="A30" authorId="0">
      <text>
        <r>
          <rPr>
            <sz val="8"/>
            <rFont val="Tahoma"/>
            <family val="0"/>
          </rPr>
          <t>Potential loss positions only. 
Potential profits may be offset against potential losses</t>
        </r>
      </text>
    </comment>
    <comment ref="A31" authorId="0">
      <text>
        <r>
          <rPr>
            <sz val="8"/>
            <rFont val="Tahoma"/>
            <family val="0"/>
          </rPr>
          <t>"Shortfall" is not defined in the Resolutions</t>
        </r>
      </text>
    </comment>
    <comment ref="D32" authorId="0">
      <text>
        <r>
          <rPr>
            <sz val="8"/>
            <rFont val="Tahoma"/>
            <family val="0"/>
          </rPr>
          <t>100% of shortfall</t>
        </r>
      </text>
    </comment>
    <comment ref="A35" authorId="0">
      <text>
        <r>
          <rPr>
            <sz val="8"/>
            <rFont val="Tahoma"/>
            <family val="0"/>
          </rPr>
          <t>"Qualifying Debt Instruments" is not defined in the Resolutions.
Table 1 of Para 2 of the PRR Resolution mentions "Qualifying Items", which are defined in Note 6 thereto as "All paper listed on the ... Bond  Market Association ..."</t>
        </r>
      </text>
    </comment>
    <comment ref="D35" authorId="0">
      <text>
        <r>
          <rPr>
            <sz val="8"/>
            <rFont val="Tahoma"/>
            <family val="0"/>
          </rPr>
          <t>MV less 105% of collateral</t>
        </r>
      </text>
    </comment>
    <comment ref="D37" authorId="0">
      <text>
        <r>
          <rPr>
            <sz val="8"/>
            <rFont val="Tahoma"/>
            <family val="0"/>
          </rPr>
          <t>MV less 110% of collateral</t>
        </r>
      </text>
    </comment>
    <comment ref="D40" authorId="1">
      <text>
        <r>
          <rPr>
            <sz val="8"/>
            <rFont val="Tahoma"/>
            <family val="0"/>
          </rPr>
          <t xml:space="preserve">CRR=credit equivalent amount multiplied by 0%
for this counterparty
</t>
        </r>
      </text>
    </comment>
    <comment ref="D42" authorId="0">
      <text>
        <r>
          <rPr>
            <sz val="8"/>
            <rFont val="Tahoma"/>
            <family val="0"/>
          </rPr>
          <t xml:space="preserve"> MTM*0%
</t>
        </r>
      </text>
    </comment>
    <comment ref="D43" authorId="0">
      <text>
        <r>
          <rPr>
            <sz val="8"/>
            <rFont val="Tahoma"/>
            <family val="0"/>
          </rPr>
          <t>(MTM + .5% of NV)*0%</t>
        </r>
      </text>
    </comment>
    <comment ref="D45" authorId="0">
      <text>
        <r>
          <rPr>
            <sz val="8"/>
            <rFont val="Tahoma"/>
            <family val="0"/>
          </rPr>
          <t>(MTM + 1% of NV)*0%</t>
        </r>
      </text>
    </comment>
    <comment ref="D46" authorId="0">
      <text>
        <r>
          <rPr>
            <sz val="8"/>
            <rFont val="Tahoma"/>
            <family val="0"/>
          </rPr>
          <t>(MTM + 5% of NV)*0%</t>
        </r>
      </text>
    </comment>
    <comment ref="D48" authorId="1">
      <text>
        <r>
          <rPr>
            <sz val="8"/>
            <rFont val="Tahoma"/>
            <family val="0"/>
          </rPr>
          <t xml:space="preserve">MTM*0%
</t>
        </r>
      </text>
    </comment>
    <comment ref="D49" authorId="0">
      <text>
        <r>
          <rPr>
            <sz val="8"/>
            <rFont val="Tahoma"/>
            <family val="0"/>
          </rPr>
          <t>(MTM + .5% of NV)*0%</t>
        </r>
      </text>
    </comment>
    <comment ref="D52" authorId="0">
      <text>
        <r>
          <rPr>
            <sz val="8"/>
            <rFont val="Tahoma"/>
            <family val="0"/>
          </rPr>
          <t>(MTM + 1% of NV)*0%</t>
        </r>
      </text>
    </comment>
    <comment ref="D53" authorId="0">
      <text>
        <r>
          <rPr>
            <sz val="8"/>
            <rFont val="Tahoma"/>
            <family val="0"/>
          </rPr>
          <t>(MTM + 5% of NV)*0%</t>
        </r>
      </text>
    </comment>
    <comment ref="D54" authorId="1">
      <text>
        <r>
          <rPr>
            <sz val="8"/>
            <rFont val="Tahoma"/>
            <family val="0"/>
          </rPr>
          <t xml:space="preserve">CRR=credit equivalent amount multiplied by 2% for this counterparty
</t>
        </r>
      </text>
    </comment>
    <comment ref="D56" authorId="0">
      <text>
        <r>
          <rPr>
            <sz val="8"/>
            <rFont val="Tahoma"/>
            <family val="0"/>
          </rPr>
          <t xml:space="preserve"> MTM*2%</t>
        </r>
      </text>
    </comment>
    <comment ref="D57" authorId="0">
      <text>
        <r>
          <rPr>
            <sz val="8"/>
            <rFont val="Tahoma"/>
            <family val="0"/>
          </rPr>
          <t>(MTM + .5% of NV)*2%</t>
        </r>
      </text>
    </comment>
    <comment ref="D59" authorId="0">
      <text>
        <r>
          <rPr>
            <sz val="8"/>
            <rFont val="Tahoma"/>
            <family val="0"/>
          </rPr>
          <t>(MTM + 1% of NV)*2%</t>
        </r>
      </text>
    </comment>
    <comment ref="D60" authorId="0">
      <text>
        <r>
          <rPr>
            <sz val="8"/>
            <rFont val="Tahoma"/>
            <family val="0"/>
          </rPr>
          <t>(MTM + 5% of NV)*2%</t>
        </r>
      </text>
    </comment>
    <comment ref="D62" authorId="1">
      <text>
        <r>
          <rPr>
            <sz val="8"/>
            <rFont val="Tahoma"/>
            <family val="0"/>
          </rPr>
          <t xml:space="preserve">MTM*2%
</t>
        </r>
      </text>
    </comment>
    <comment ref="D63" authorId="0">
      <text>
        <r>
          <rPr>
            <sz val="8"/>
            <rFont val="Tahoma"/>
            <family val="0"/>
          </rPr>
          <t>(MTM + .5% of NV)*2%</t>
        </r>
      </text>
    </comment>
    <comment ref="D66" authorId="0">
      <text>
        <r>
          <rPr>
            <sz val="8"/>
            <rFont val="Tahoma"/>
            <family val="0"/>
          </rPr>
          <t>(MTM + 1% of NV)*2%</t>
        </r>
      </text>
    </comment>
    <comment ref="D67" authorId="0">
      <text>
        <r>
          <rPr>
            <sz val="8"/>
            <rFont val="Tahoma"/>
            <family val="0"/>
          </rPr>
          <t>(MTM + 5% of NV)*2%</t>
        </r>
      </text>
    </comment>
    <comment ref="D68" authorId="1">
      <text>
        <r>
          <rPr>
            <sz val="8"/>
            <rFont val="Tahoma"/>
            <family val="0"/>
          </rPr>
          <t xml:space="preserve">CRR=credit equivalent amount multiplied by 5% for this counterparty
</t>
        </r>
      </text>
    </comment>
    <comment ref="D70" authorId="0">
      <text>
        <r>
          <rPr>
            <sz val="8"/>
            <rFont val="Tahoma"/>
            <family val="0"/>
          </rPr>
          <t xml:space="preserve"> MTM*5%</t>
        </r>
      </text>
    </comment>
    <comment ref="D71" authorId="0">
      <text>
        <r>
          <rPr>
            <sz val="8"/>
            <rFont val="Tahoma"/>
            <family val="0"/>
          </rPr>
          <t>(MTM + .5% of NV)*5%</t>
        </r>
      </text>
    </comment>
    <comment ref="D73" authorId="0">
      <text>
        <r>
          <rPr>
            <sz val="8"/>
            <rFont val="Tahoma"/>
            <family val="0"/>
          </rPr>
          <t>(MTM + 1% of NV)*5%</t>
        </r>
      </text>
    </comment>
    <comment ref="D74" authorId="0">
      <text>
        <r>
          <rPr>
            <sz val="8"/>
            <rFont val="Tahoma"/>
            <family val="0"/>
          </rPr>
          <t>(MTM + 5% of NV)*5%</t>
        </r>
      </text>
    </comment>
    <comment ref="D76" authorId="1">
      <text>
        <r>
          <rPr>
            <sz val="8"/>
            <rFont val="Tahoma"/>
            <family val="0"/>
          </rPr>
          <t xml:space="preserve">MTM*5%
</t>
        </r>
      </text>
    </comment>
    <comment ref="D77" authorId="0">
      <text>
        <r>
          <rPr>
            <sz val="8"/>
            <rFont val="Tahoma"/>
            <family val="0"/>
          </rPr>
          <t>(MTM + .5% of NV)*5%</t>
        </r>
      </text>
    </comment>
    <comment ref="D80" authorId="0">
      <text>
        <r>
          <rPr>
            <sz val="8"/>
            <rFont val="Tahoma"/>
            <family val="0"/>
          </rPr>
          <t>(MTM + 1% of NV)*5%</t>
        </r>
      </text>
    </comment>
    <comment ref="D81" authorId="0">
      <text>
        <r>
          <rPr>
            <sz val="8"/>
            <rFont val="Tahoma"/>
            <family val="0"/>
          </rPr>
          <t>(MTM + 5% of NV)*5%</t>
        </r>
      </text>
    </comment>
    <comment ref="D84" authorId="0">
      <text>
        <r>
          <rPr>
            <sz val="8"/>
            <rFont val="Tahoma"/>
            <family val="0"/>
          </rPr>
          <t>100% of amount by which loan is not secured</t>
        </r>
      </text>
    </comment>
    <comment ref="D87" authorId="0">
      <text>
        <r>
          <rPr>
            <sz val="8"/>
            <rFont val="Tahoma"/>
            <family val="0"/>
          </rPr>
          <t>100% of amount</t>
        </r>
      </text>
    </comment>
    <comment ref="D89" authorId="0">
      <text>
        <r>
          <rPr>
            <sz val="8"/>
            <rFont val="Tahoma"/>
            <family val="0"/>
          </rPr>
          <t>100% of amount due</t>
        </r>
      </text>
    </comment>
  </commentList>
</comments>
</file>

<file path=xl/comments12.xml><?xml version="1.0" encoding="utf-8"?>
<comments xmlns="http://schemas.openxmlformats.org/spreadsheetml/2006/main">
  <authors>
    <author>A satisfied Microsoft Office user</author>
  </authors>
  <commentList>
    <comment ref="A5" authorId="0">
      <text>
        <r>
          <rPr>
            <sz val="8"/>
            <rFont val="Tahoma"/>
            <family val="0"/>
          </rPr>
          <t>The following exposures are exempt:
1. Exposures to or guarantees by the govt. of RSA or SARB.
2. Exposures secured by securities issued by the govt of RSA or SARB
3. Exposures secured by cash deposited with the member, its connected credit institutions or JSE Trustees.
4. Exposures with maturity less than 1 year to regulated SA Financial and banking institutions, recognised clearing houses, exchanges and approved exchanges in financial instruments, not constituting the member's capital requirements.</t>
        </r>
      </text>
    </comment>
    <comment ref="E7" authorId="0">
      <text>
        <r>
          <rPr>
            <sz val="8"/>
            <rFont val="Tahoma"/>
            <family val="0"/>
          </rPr>
          <t>Only required if Total exposure to third party exceeds 25% of Adjusted Liquid Capital.
The percentages to be applied are to be obtained from the Resolutions on Position Risk Requirement and Counterparty Risk Requirement.
Note that the PRR percentage must be that applicable to Specific Risk only (where the Building Block approach has been used); and is the entire PRR percentage (where the Simplistic method has been used).</t>
        </r>
      </text>
    </comment>
    <comment ref="A34" authorId="0">
      <text>
        <r>
          <rPr>
            <sz val="8"/>
            <rFont val="Tahoma"/>
            <family val="0"/>
          </rPr>
          <t>Yes, I know it's a nonsense, but how do you make sense out of 4.4, where it says:
the LER "shall be limited to such amount as, together with the PRRs or CRRs on the exposures making up such excess, equals 100% of any exposure forming the excess" ?
Since "any" exposure forming the excess can be used, we have in the interests of our members, chosen to use the smallest such. Of course this means that members could so arrange their affairs that their LER is always minimal; but it is the Regulators' responsibility to make the rules, and the market participants' only to follow them, no matter how ridiculous they seem. Go for it boys!</t>
        </r>
      </text>
    </comment>
  </commentList>
</comments>
</file>

<file path=xl/comments13.xml><?xml version="1.0" encoding="utf-8"?>
<comments xmlns="http://schemas.openxmlformats.org/spreadsheetml/2006/main">
  <authors>
    <author>A satisfied Microsoft Office user</author>
  </authors>
  <commentList>
    <comment ref="A17" authorId="0">
      <text>
        <r>
          <rPr>
            <sz val="8"/>
            <rFont val="Tahoma"/>
            <family val="0"/>
          </rPr>
          <t>Simulation Techniques can only be used with the prior written approval of the Executive Committee!
The FER for currencies using Simulation techniques must exceed the losses (on what?) which would have occurred in at least 95% of the rolling ten-working-day periods over the preceding five years.</t>
        </r>
      </text>
    </comment>
  </commentList>
</comments>
</file>

<file path=xl/comments14.xml><?xml version="1.0" encoding="utf-8"?>
<comments xmlns="http://schemas.openxmlformats.org/spreadsheetml/2006/main">
  <authors>
    <author>A satisfied Microsoft Office user</author>
  </authors>
  <commentList>
    <comment ref="B10" authorId="0">
      <text>
        <r>
          <rPr>
            <sz val="8"/>
            <rFont val="Tahoma"/>
            <family val="0"/>
          </rPr>
          <t>From the Sheet "Loan Stock Positions"</t>
        </r>
      </text>
    </comment>
    <comment ref="H17" authorId="0">
      <text>
        <r>
          <rPr>
            <sz val="8"/>
            <rFont val="Tahoma"/>
            <family val="0"/>
          </rPr>
          <t>From sheet BBLS Maturity</t>
        </r>
      </text>
    </comment>
  </commentList>
</comments>
</file>

<file path=xl/comments15.xml><?xml version="1.0" encoding="utf-8"?>
<comments xmlns="http://schemas.openxmlformats.org/spreadsheetml/2006/main">
  <authors>
    <author>A satisfied Microsoft Office user</author>
  </authors>
  <commentList>
    <comment ref="B7" authorId="0">
      <text>
        <r>
          <rPr>
            <sz val="8"/>
            <rFont val="Tahoma"/>
            <family val="0"/>
          </rPr>
          <t>From sheet BB Loan Stock</t>
        </r>
      </text>
    </comment>
    <comment ref="B13" authorId="0">
      <text>
        <r>
          <rPr>
            <sz val="8"/>
            <rFont val="Tahoma"/>
            <family val="0"/>
          </rPr>
          <t>From sheet BB Loan Stock</t>
        </r>
      </text>
    </comment>
    <comment ref="C13" authorId="0">
      <text>
        <r>
          <rPr>
            <sz val="8"/>
            <rFont val="Tahoma"/>
            <family val="0"/>
          </rPr>
          <t>From sheet BB Loan Stock</t>
        </r>
      </text>
    </comment>
    <comment ref="D13" authorId="0">
      <text>
        <r>
          <rPr>
            <sz val="8"/>
            <rFont val="Tahoma"/>
            <family val="0"/>
          </rPr>
          <t>From sheet BB Loan Stock</t>
        </r>
      </text>
    </comment>
    <comment ref="B14" authorId="0">
      <text>
        <r>
          <rPr>
            <sz val="8"/>
            <rFont val="Tahoma"/>
            <family val="0"/>
          </rPr>
          <t>From sheet BB Loan Stock</t>
        </r>
      </text>
    </comment>
    <comment ref="C14" authorId="0">
      <text>
        <r>
          <rPr>
            <sz val="8"/>
            <rFont val="Tahoma"/>
            <family val="0"/>
          </rPr>
          <t>From sheet BB Loan Stock</t>
        </r>
      </text>
    </comment>
    <comment ref="D14" authorId="0">
      <text>
        <r>
          <rPr>
            <sz val="8"/>
            <rFont val="Tahoma"/>
            <family val="0"/>
          </rPr>
          <t>From sheet BB Loan Stock</t>
        </r>
      </text>
    </comment>
  </commentList>
</comments>
</file>

<file path=xl/comments2.xml><?xml version="1.0" encoding="utf-8"?>
<comments xmlns="http://schemas.openxmlformats.org/spreadsheetml/2006/main">
  <authors>
    <author>A satisfied Microsoft Office user</author>
  </authors>
  <commentList>
    <comment ref="B7" authorId="0">
      <text>
        <r>
          <rPr>
            <sz val="8"/>
            <rFont val="Tahoma"/>
            <family val="0"/>
          </rPr>
          <t>Enter the date on which these figures are based</t>
        </r>
      </text>
    </comment>
    <comment ref="B11" authorId="0">
      <text>
        <r>
          <rPr>
            <sz val="8"/>
            <rFont val="Tahoma"/>
            <family val="0"/>
          </rPr>
          <t>From sheet OWN FUNDS</t>
        </r>
      </text>
    </comment>
    <comment ref="B13" authorId="0">
      <text>
        <r>
          <rPr>
            <sz val="8"/>
            <rFont val="Tahoma"/>
            <family val="0"/>
          </rPr>
          <t xml:space="preserve">From sheet INITIAL CAPITAL </t>
        </r>
      </text>
    </comment>
    <comment ref="B14" authorId="0">
      <text>
        <r>
          <rPr>
            <sz val="8"/>
            <rFont val="Tahoma"/>
            <family val="0"/>
          </rPr>
          <t>From sheet ANN OPER COSTS</t>
        </r>
      </text>
    </comment>
    <comment ref="B16" authorId="0">
      <text>
        <r>
          <rPr>
            <sz val="8"/>
            <rFont val="Tahoma"/>
            <family val="0"/>
          </rPr>
          <t>From sheet Position Risk Election</t>
        </r>
      </text>
    </comment>
    <comment ref="B17" authorId="0">
      <text>
        <r>
          <rPr>
            <sz val="8"/>
            <rFont val="Tahoma"/>
            <family val="0"/>
          </rPr>
          <t>From sheet Counterparty Risk Req"t</t>
        </r>
      </text>
    </comment>
    <comment ref="B18" authorId="0">
      <text>
        <r>
          <rPr>
            <sz val="8"/>
            <rFont val="Tahoma"/>
            <family val="0"/>
          </rPr>
          <t>From sheet Large Exposure Req"t</t>
        </r>
      </text>
    </comment>
    <comment ref="B19" authorId="0">
      <text>
        <r>
          <rPr>
            <sz val="8"/>
            <rFont val="Tahoma"/>
            <family val="0"/>
          </rPr>
          <t>From sheet Forex Req"t</t>
        </r>
      </text>
    </comment>
  </commentList>
</comments>
</file>

<file path=xl/comments3.xml><?xml version="1.0" encoding="utf-8"?>
<comments xmlns="http://schemas.openxmlformats.org/spreadsheetml/2006/main">
  <authors>
    <author>A satisfied Microsoft Office user</author>
  </authors>
  <commentList>
    <comment ref="C10" authorId="0">
      <text>
        <r>
          <rPr>
            <sz val="8"/>
            <rFont val="Tahoma"/>
            <family val="0"/>
          </rPr>
          <t>You maintain a trust account for your clients</t>
        </r>
      </text>
    </comment>
    <comment ref="C11" authorId="0">
      <text>
        <r>
          <rPr>
            <sz val="8"/>
            <rFont val="Tahoma"/>
            <family val="0"/>
          </rPr>
          <t>You maintain a trust account for your clients</t>
        </r>
      </text>
    </comment>
  </commentList>
</comments>
</file>

<file path=xl/comments4.xml><?xml version="1.0" encoding="utf-8"?>
<comments xmlns="http://schemas.openxmlformats.org/spreadsheetml/2006/main">
  <authors>
    <author>A satisfied Microsoft Office user</author>
  </authors>
  <commentList>
    <comment ref="D6" authorId="0">
      <text>
        <r>
          <rPr>
            <sz val="8"/>
            <rFont val="Tahoma"/>
            <family val="0"/>
          </rPr>
          <t>May not redeemable within 2 years from issue &amp; must be redeemable within 13 weeks.</t>
        </r>
      </text>
    </comment>
    <comment ref="D10" authorId="0">
      <text>
        <r>
          <rPr>
            <sz val="8"/>
            <rFont val="Tahoma"/>
            <family val="0"/>
          </rPr>
          <t>To be verified by member's external auditor or by Safex.</t>
        </r>
      </text>
    </comment>
    <comment ref="D16" authorId="0">
      <text>
        <r>
          <rPr>
            <sz val="8"/>
            <rFont val="Tahoma"/>
            <family val="0"/>
          </rPr>
          <t>Must be convertible into cash within 13 weeks.</t>
        </r>
      </text>
    </comment>
    <comment ref="D23" authorId="0">
      <text>
        <r>
          <rPr>
            <sz val="8"/>
            <rFont val="Tahoma"/>
            <family val="0"/>
          </rPr>
          <t>Must of less than 1 year duration &amp; approved by Safex.</t>
        </r>
      </text>
    </comment>
    <comment ref="D32" authorId="0">
      <text>
        <r>
          <rPr>
            <sz val="8"/>
            <rFont val="Tahoma"/>
            <family val="0"/>
          </rPr>
          <t>Assets that are liquid &amp; realisable within 13 weeks.</t>
        </r>
      </text>
    </comment>
    <comment ref="D35" authorId="0">
      <text>
        <r>
          <rPr>
            <sz val="8"/>
            <rFont val="Tahoma"/>
            <family val="0"/>
          </rPr>
          <t>Building revaluation may only be included provided it was purchased at least 5 years ago &amp; professionally valued.</t>
        </r>
      </text>
    </comment>
    <comment ref="D27" authorId="0">
      <text>
        <r>
          <rPr>
            <sz val="8"/>
            <rFont val="Tahoma"/>
            <family val="0"/>
          </rPr>
          <t>Assets that are liquid &amp; realisable within 13 weeks.</t>
        </r>
      </text>
    </comment>
  </commentList>
</comments>
</file>

<file path=xl/comments5.xml><?xml version="1.0" encoding="utf-8"?>
<comments xmlns="http://schemas.openxmlformats.org/spreadsheetml/2006/main">
  <authors>
    <author>A satisfied Microsoft Office user</author>
  </authors>
  <commentList>
    <comment ref="C13" authorId="0">
      <text>
        <r>
          <rPr>
            <sz val="8"/>
            <rFont val="Tahoma"/>
            <family val="0"/>
          </rPr>
          <t>Paid out of current years profits &amp; not guaranteed i.e.. incentive bonuses</t>
        </r>
      </text>
    </comment>
    <comment ref="C14" authorId="0">
      <text>
        <r>
          <rPr>
            <sz val="8"/>
            <rFont val="Tahoma"/>
            <family val="0"/>
          </rPr>
          <t>Except guaranteed remuneration even if member makes a loss.</t>
        </r>
      </text>
    </comment>
    <comment ref="C15" authorId="0">
      <text>
        <r>
          <rPr>
            <sz val="8"/>
            <rFont val="Tahoma"/>
            <family val="0"/>
          </rPr>
          <t>Excluding employees or appointed representatives of the member.</t>
        </r>
      </text>
    </comment>
    <comment ref="C16" authorId="0">
      <text>
        <r>
          <rPr>
            <sz val="8"/>
            <rFont val="Tahoma"/>
            <family val="0"/>
          </rPr>
          <t>Paid to Safex, clearing member for the purpose of executing, registering that are not related to the continuation of trading.</t>
        </r>
      </text>
    </comment>
    <comment ref="C17" authorId="0">
      <text>
        <r>
          <rPr>
            <sz val="8"/>
            <rFont val="Tahoma"/>
            <family val="0"/>
          </rPr>
          <t>Trade related e.g.. repo's &amp; carries.</t>
        </r>
      </text>
    </comment>
    <comment ref="C18" authorId="0">
      <text>
        <r>
          <rPr>
            <sz val="8"/>
            <rFont val="Tahoma"/>
            <family val="0"/>
          </rPr>
          <t>To finance the long term investment business of the member.</t>
        </r>
      </text>
    </comment>
    <comment ref="C21" authorId="0">
      <text>
        <r>
          <rPr>
            <sz val="8"/>
            <rFont val="Tahoma"/>
            <family val="0"/>
          </rPr>
          <t>With the approval of the executive committee.</t>
        </r>
      </text>
    </comment>
  </commentList>
</comments>
</file>

<file path=xl/comments7.xml><?xml version="1.0" encoding="utf-8"?>
<comments xmlns="http://schemas.openxmlformats.org/spreadsheetml/2006/main">
  <authors>
    <author>A satisfied Microsoft Office user</author>
  </authors>
  <commentList>
    <comment ref="C4" authorId="0">
      <text>
        <r>
          <rPr>
            <sz val="8"/>
            <rFont val="Tahoma"/>
            <family val="0"/>
          </rPr>
          <t>The long and short positions in any single instrument may be netted.
"Market Value" in relation to aggregate positions means the sum of long and short positions in each instrument, ignoring the signs.</t>
        </r>
      </text>
    </comment>
    <comment ref="C5" authorId="0">
      <text>
        <r>
          <rPr>
            <sz val="8"/>
            <rFont val="Tahoma"/>
            <family val="0"/>
          </rPr>
          <t>Positions in unlisted forward contracts and written options are valued as the market value of the underlying instruments ( and not via deltas).
In the case of unlisted purchased options, the value is limited to the current value of the option.</t>
        </r>
      </text>
    </comment>
    <comment ref="B31" authorId="0">
      <text>
        <r>
          <rPr>
            <sz val="8"/>
            <rFont val="Tahoma"/>
            <family val="0"/>
          </rPr>
          <t>1. Realisable Value in relation to a commodity means a fair estimate of the value at which the position could be closed without unduly affecting the market in the commodity instrument.</t>
        </r>
      </text>
    </comment>
    <comment ref="A32" authorId="0">
      <text>
        <r>
          <rPr>
            <sz val="8"/>
            <rFont val="Tahoma"/>
            <family val="0"/>
          </rPr>
          <t>A stock position in physical commodities shall include the following : 
- Commodities where the full contract price has been paid;
- WIP &amp; goods which result from the processing of commodities &amp;
- RM which shall be combined to produce a finished processed commodity.</t>
        </r>
      </text>
    </comment>
    <comment ref="A33" authorId="0">
      <text>
        <r>
          <rPr>
            <sz val="8"/>
            <rFont val="Tahoma"/>
            <family val="0"/>
          </rPr>
          <t>Associated with member's inv. business if made for inv. rather than commercial purposes - indications :
- traded on an exchange;
- performance ensured by the exchange &amp;
- there are arrangements made for the payment or provision of margin</t>
        </r>
      </text>
    </comment>
    <comment ref="A34" authorId="0">
      <text>
        <r>
          <rPr>
            <sz val="8"/>
            <rFont val="Tahoma"/>
            <family val="0"/>
          </rPr>
          <t xml:space="preserve">Indications if contract is for commercial purposes :
 - terms specify delivery within 7 days &amp;
 - either or each party is a producer of the commodity or uses it in his business or the purchaser takes or intends to take delivery </t>
        </r>
      </text>
    </comment>
  </commentList>
</comments>
</file>

<file path=xl/comments8.xml><?xml version="1.0" encoding="utf-8"?>
<comments xmlns="http://schemas.openxmlformats.org/spreadsheetml/2006/main">
  <authors>
    <author>A satisfied Microsoft Office user</author>
  </authors>
  <commentList>
    <comment ref="B8" authorId="0">
      <text>
        <r>
          <rPr>
            <sz val="8"/>
            <rFont val="Tahoma"/>
            <family val="0"/>
          </rPr>
          <t>The Position in each Stock is the algebraic sum of:
(i)    Any physical holding of the stock
(ii)   Any unsettled positions in the stock
(iii)  Forwards or futures defined on the stock, valued as the nominal underlying
(iv)  Options on spot, forwards or futures, valued as nominal underlying times delta of each option
(v) Where Loan Stocks have been underwritten:
     1. Before "working day 0" (i.e. the day on which the member becomes unconditionally committed to accepting a known quantity of stock at an agreed price): an amount of stock to be determined by the Executive Committee, presently zero;
     2. Thereafter the net position (underwriting commitment less stock sub-underwritten or subscribed for) shall be treated as a long position in the stock with the following allowances in working 0-5:
       Working Day           % Reduction
                0                          100
                1                            90
             2 &amp; 3                          75
                4                             50
                5                             25
           thereafter                        0</t>
        </r>
      </text>
    </comment>
    <comment ref="G8" authorId="0">
      <text>
        <r>
          <rPr>
            <sz val="8"/>
            <rFont val="Tahoma"/>
            <family val="0"/>
          </rPr>
          <t xml:space="preserve">Categories (used in calculating the Specific Risk of Loan Stock positions under both the Maturity- and Duration-based approaches) are:
Category 1: "Central Government Items": Loan Stock issued or guaranteed by government, or issued by "FSB approved statutory bodies";
Category 2: "Qualifying Items": All other Loan Stocks listed on the BMA or any other exchange recognised by the FSB;
Category 3: "Other Items": All other Loan Stocks.
</t>
        </r>
      </text>
    </comment>
  </commentList>
</comments>
</file>

<file path=xl/comments9.xml><?xml version="1.0" encoding="utf-8"?>
<comments xmlns="http://schemas.openxmlformats.org/spreadsheetml/2006/main">
  <authors>
    <author>A satisfied Microsoft Office user</author>
  </authors>
  <commentList>
    <comment ref="B4" authorId="0">
      <text>
        <r>
          <rPr>
            <sz val="8"/>
            <rFont val="Tahoma"/>
            <family val="0"/>
          </rPr>
          <t>The Position in each Stock is the algebraic sum of:
(i)    Any physical holding of the stock
(ii)   Any unsettled positions in the stock
(iii)  Forwards or futures defined on the stock, valued as the nominal underlying
(iv)  Options on spot, forwards or futures, valued as nominal underlying times delta of each option
(v) Where Loan Stocks have been underwritten:
     1. Before "working day 0" (i.e. the day on which the member becomes unconditionally committed to accepting a known quantity of stock at an agreed price): an amount of stock to be determined by the Executive Committee, presently zero;
     2. Thereafter the net position (underwriting commitment less stock sub-underwritten or subscribed for) shall be treated as a long position in the stock with the following allowances in working 0-5:
       Working Day           % Reduction
                0                          100
                1                            90
             2 &amp; 3                          75
                4                             50
                5                             25
           thereafter                        0</t>
        </r>
      </text>
    </comment>
    <comment ref="G4" authorId="0">
      <text>
        <r>
          <rPr>
            <sz val="8"/>
            <rFont val="Tahoma"/>
            <family val="0"/>
          </rPr>
          <t>Categories (used in calculating the Specific Risk of Loan Stock positions under both the Maturity- and Duration-based approaches) are:
Category 1: "Central Government Items": Loan Stock issued or guaranteed by government, or issued by "FSB approved statutory bodies";
Category 2: "Qualifying Items": All other Loan Stocks listed on the BMA or any other exchange recognised by the FSB;
Category 3: "Other Items": All other Loan Stocks.</t>
        </r>
      </text>
    </comment>
  </commentList>
</comments>
</file>

<file path=xl/sharedStrings.xml><?xml version="1.0" encoding="utf-8"?>
<sst xmlns="http://schemas.openxmlformats.org/spreadsheetml/2006/main" count="896" uniqueCount="584">
  <si>
    <t xml:space="preserve">            Summary of Results</t>
  </si>
  <si>
    <t xml:space="preserve">Company name </t>
  </si>
  <si>
    <t xml:space="preserve">These figures as at </t>
  </si>
  <si>
    <t>R</t>
  </si>
  <si>
    <t>Own Funds</t>
  </si>
  <si>
    <t>Initial Capital requirement</t>
  </si>
  <si>
    <t>13 Weeks Operating Cost</t>
  </si>
  <si>
    <t>Greater of above two figures</t>
  </si>
  <si>
    <t>Position risk requirement</t>
  </si>
  <si>
    <t>Counterparty risk requirement</t>
  </si>
  <si>
    <t>Large exposure risk requirement</t>
  </si>
  <si>
    <t>Foreign exchange risk requirement</t>
  </si>
  <si>
    <t>Total Capital Adequacy Requirement</t>
  </si>
  <si>
    <t xml:space="preserve"> </t>
  </si>
  <si>
    <t>Surplus(Deficit)</t>
  </si>
  <si>
    <t>Initial Capital Requirement</t>
  </si>
  <si>
    <t>Enter your Initial capital Requirement:</t>
  </si>
  <si>
    <t>(use table below as guide)</t>
  </si>
  <si>
    <t xml:space="preserve">                    Member Class &amp; Category</t>
  </si>
  <si>
    <t>Initial Capital</t>
  </si>
  <si>
    <t>Class</t>
  </si>
  <si>
    <t>Category</t>
  </si>
  <si>
    <t>Requirement</t>
  </si>
  <si>
    <t xml:space="preserve">Clearing </t>
  </si>
  <si>
    <t xml:space="preserve">Non-clearing </t>
  </si>
  <si>
    <t>Non- broking member</t>
  </si>
  <si>
    <t>nil</t>
  </si>
  <si>
    <t>Note : Do not enter figures as negatives unless indicated to do so.</t>
  </si>
  <si>
    <t>Part A</t>
  </si>
  <si>
    <t>Ordinary Share Capital</t>
  </si>
  <si>
    <t>A1</t>
  </si>
  <si>
    <r>
      <t>Preference Share Capital</t>
    </r>
    <r>
      <rPr>
        <b/>
        <sz val="10"/>
        <color indexed="63"/>
        <rFont val="Arial"/>
        <family val="2"/>
      </rPr>
      <t xml:space="preserve"> </t>
    </r>
  </si>
  <si>
    <t>A2</t>
  </si>
  <si>
    <t xml:space="preserve">Share Premium </t>
  </si>
  <si>
    <t>A3</t>
  </si>
  <si>
    <t>Reserves excluding revaluation reserves</t>
  </si>
  <si>
    <t>A4</t>
  </si>
  <si>
    <t>Audited retained earnings / (Accumulated loss)</t>
  </si>
  <si>
    <t>A5</t>
  </si>
  <si>
    <t>Unaudited profits / (losses)</t>
  </si>
  <si>
    <t>A6</t>
  </si>
  <si>
    <t>Part A Total</t>
  </si>
  <si>
    <t>Part B</t>
  </si>
  <si>
    <t>Intangible assets</t>
  </si>
  <si>
    <t>B1</t>
  </si>
  <si>
    <t>B2</t>
  </si>
  <si>
    <r>
      <t>Investments in unlisted shares</t>
    </r>
    <r>
      <rPr>
        <b/>
        <sz val="9"/>
        <color indexed="63"/>
        <rFont val="Arial"/>
        <family val="2"/>
      </rPr>
      <t xml:space="preserve"> </t>
    </r>
  </si>
  <si>
    <t>B3</t>
  </si>
  <si>
    <t xml:space="preserve">Guarantees given </t>
  </si>
  <si>
    <t>B4</t>
  </si>
  <si>
    <t>Amount paid to cover risk exposure in any other market</t>
  </si>
  <si>
    <t>B5</t>
  </si>
  <si>
    <t>Tax provisions</t>
  </si>
  <si>
    <t>B6</t>
  </si>
  <si>
    <t>Part B Total</t>
  </si>
  <si>
    <t>Part C</t>
  </si>
  <si>
    <r>
      <t>Guarantees received</t>
    </r>
    <r>
      <rPr>
        <b/>
        <sz val="9"/>
        <color indexed="10"/>
        <rFont val="Arial"/>
        <family val="2"/>
      </rPr>
      <t xml:space="preserve"> </t>
    </r>
  </si>
  <si>
    <t>C1</t>
  </si>
  <si>
    <t>C2</t>
  </si>
  <si>
    <t>Market value</t>
  </si>
  <si>
    <t>Book value</t>
  </si>
  <si>
    <t>Excess</t>
  </si>
  <si>
    <t>C3</t>
  </si>
  <si>
    <t>Realisable value</t>
  </si>
  <si>
    <r>
      <t>Revaluation reserve relating to above assets</t>
    </r>
    <r>
      <rPr>
        <b/>
        <sz val="10"/>
        <color indexed="10"/>
        <rFont val="Arial"/>
        <family val="2"/>
      </rPr>
      <t xml:space="preserve"> </t>
    </r>
  </si>
  <si>
    <t>C4</t>
  </si>
  <si>
    <t>Part C Total</t>
  </si>
  <si>
    <t>Part D</t>
  </si>
  <si>
    <t xml:space="preserve">Shareholding in financial institutions of more than 10% of A1 to A7, own capital or of the financial institutions capital </t>
  </si>
  <si>
    <t>D1</t>
  </si>
  <si>
    <t>Part D Total</t>
  </si>
  <si>
    <t>OWN FUNDS</t>
  </si>
  <si>
    <t xml:space="preserve">              (Total A - Total B + Total C - Total D)</t>
  </si>
  <si>
    <t>ANNUAL OPERATING COSTS</t>
  </si>
  <si>
    <t>Total Revenue</t>
  </si>
  <si>
    <t>Previous year audited loss</t>
  </si>
  <si>
    <t>Adjusted revenue</t>
  </si>
  <si>
    <t>LESS:                                            Profit/(loss) before tax</t>
  </si>
  <si>
    <t xml:space="preserve">Operating costs </t>
  </si>
  <si>
    <r>
      <t>Bonuses</t>
    </r>
    <r>
      <rPr>
        <b/>
        <sz val="10"/>
        <color indexed="10"/>
        <rFont val="Arial"/>
        <family val="2"/>
      </rPr>
      <t xml:space="preserve"> </t>
    </r>
  </si>
  <si>
    <t>Profit shares</t>
  </si>
  <si>
    <t>Commissions paid</t>
  </si>
  <si>
    <t xml:space="preserve">Fees, brokerage &amp; charges </t>
  </si>
  <si>
    <t>Interest payable to counterparties</t>
  </si>
  <si>
    <t>Interest payable on borrowings</t>
  </si>
  <si>
    <t>Foreign currency conversion loss</t>
  </si>
  <si>
    <t>Abnormal/extraordinary items</t>
  </si>
  <si>
    <t>13 Weeks operating costs</t>
  </si>
  <si>
    <t xml:space="preserve">NB If a member has just started business and has no audited annual financial statements, </t>
  </si>
  <si>
    <t xml:space="preserve">he should calculate its relevant expenditure on budgeted or other accounts </t>
  </si>
  <si>
    <t>submitted with its application or on a proportionate basis approved by the EXCO.</t>
  </si>
  <si>
    <t xml:space="preserve">(But if the cost has gone above the budget then the member will have to adjust the </t>
  </si>
  <si>
    <t>original budget accordingly)</t>
  </si>
  <si>
    <t xml:space="preserve">Position Risk Requirement Method </t>
  </si>
  <si>
    <t>Please indicate which calculation method is to be used by entering a "Y" in the appropriate box below :</t>
  </si>
  <si>
    <t>Method 1 - simple</t>
  </si>
  <si>
    <t>Method 2 - building block</t>
  </si>
  <si>
    <t>Method 3 - in-house value-at-risk model</t>
  </si>
  <si>
    <t>Note:</t>
  </si>
  <si>
    <r>
      <t>If method 1 is chosen</t>
    </r>
    <r>
      <rPr>
        <sz val="10"/>
        <rFont val="Arial"/>
        <family val="0"/>
      </rPr>
      <t>, complete sheet "</t>
    </r>
    <r>
      <rPr>
        <sz val="10"/>
        <color indexed="10"/>
        <rFont val="Arial"/>
        <family val="2"/>
      </rPr>
      <t>Simple</t>
    </r>
    <r>
      <rPr>
        <sz val="10"/>
        <rFont val="Arial"/>
        <family val="0"/>
      </rPr>
      <t>"</t>
    </r>
  </si>
  <si>
    <r>
      <t>If method 2 is chosen,</t>
    </r>
    <r>
      <rPr>
        <sz val="10"/>
        <rFont val="Arial"/>
        <family val="0"/>
      </rPr>
      <t xml:space="preserve"> complete sheets "</t>
    </r>
    <r>
      <rPr>
        <sz val="10"/>
        <color indexed="10"/>
        <rFont val="Arial"/>
        <family val="2"/>
      </rPr>
      <t>BB Loan Stock</t>
    </r>
    <r>
      <rPr>
        <sz val="10"/>
        <rFont val="Arial"/>
        <family val="0"/>
      </rPr>
      <t>" (for positions in Loan Stock),</t>
    </r>
  </si>
  <si>
    <r>
      <t xml:space="preserve">                      and "</t>
    </r>
    <r>
      <rPr>
        <sz val="10"/>
        <color indexed="10"/>
        <rFont val="Arial"/>
        <family val="2"/>
      </rPr>
      <t>BB Securities etc</t>
    </r>
    <r>
      <rPr>
        <sz val="10"/>
        <rFont val="Arial"/>
        <family val="0"/>
      </rPr>
      <t>" (for positions in Equities, Commodities and other investments).</t>
    </r>
  </si>
  <si>
    <r>
      <t>If method 3 is chosen</t>
    </r>
    <r>
      <rPr>
        <sz val="10"/>
        <rFont val="Arial"/>
        <family val="0"/>
      </rPr>
      <t>, enter the calculated position risk requirement here:</t>
    </r>
  </si>
  <si>
    <t>and send a copy of your calculation with the return</t>
  </si>
  <si>
    <t>Method 1 - Simple Method</t>
  </si>
  <si>
    <t>a). Loan Stock</t>
  </si>
  <si>
    <t>"Market Value" of Positions in ...</t>
  </si>
  <si>
    <t xml:space="preserve"> Spot                        R</t>
  </si>
  <si>
    <t>Unlisted forwards/options @ Market Value</t>
  </si>
  <si>
    <t>% Required</t>
  </si>
  <si>
    <t>Value</t>
  </si>
  <si>
    <t xml:space="preserve">Government issued or guaranteed </t>
  </si>
  <si>
    <t>&lt; 1Year to maturity</t>
  </si>
  <si>
    <t>&lt; 3 Years to maturity</t>
  </si>
  <si>
    <t>&gt; 3 Years to maturity</t>
  </si>
  <si>
    <t>Issued or accepted by a bank</t>
  </si>
  <si>
    <t>&lt; 90 days to maturity</t>
  </si>
  <si>
    <t>Other marketable investments</t>
  </si>
  <si>
    <t>&lt; 1 year to maturity</t>
  </si>
  <si>
    <t>&lt; 3 years to maturity</t>
  </si>
  <si>
    <t>&gt; 3 years to maturity</t>
  </si>
  <si>
    <t>Floating Rate Notes</t>
  </si>
  <si>
    <t>&lt; 20 years to maturity</t>
  </si>
  <si>
    <t>&gt; 20 years to maturity</t>
  </si>
  <si>
    <t>Loan Stock Total</t>
  </si>
  <si>
    <t>b). Securities</t>
  </si>
  <si>
    <t>Spot                      R</t>
  </si>
  <si>
    <t>Listed on a local exchange</t>
  </si>
  <si>
    <t>Mining</t>
  </si>
  <si>
    <t>Other</t>
  </si>
  <si>
    <t>Listed on a foreign exchange</t>
  </si>
  <si>
    <t>Other securities</t>
  </si>
  <si>
    <t>Securities Total</t>
  </si>
  <si>
    <t>c). Commodities</t>
  </si>
  <si>
    <t>Realisable 
Value - R</t>
  </si>
  <si>
    <t>Stock positions in physical commodities</t>
  </si>
  <si>
    <t>associated with member's inv business</t>
  </si>
  <si>
    <t>(for commercial purposes)</t>
  </si>
  <si>
    <t>Commodities Total</t>
  </si>
  <si>
    <t>d). Futures &amp; options, contracts for differences and other instruments</t>
  </si>
  <si>
    <t>Value - R</t>
  </si>
  <si>
    <t>(initial margin)</t>
  </si>
  <si>
    <t>Contracts for differences(e.g. IR Swaps,FRS's, Floors, Collars etc.)</t>
  </si>
  <si>
    <t>(market value)</t>
  </si>
  <si>
    <t>Units in a unit trust</t>
  </si>
  <si>
    <t>(realisable value)</t>
  </si>
  <si>
    <t>Krugerrands</t>
  </si>
  <si>
    <t xml:space="preserve">Interest in unregistered derivatives fund   </t>
  </si>
  <si>
    <t xml:space="preserve">With-profit life policies </t>
  </si>
  <si>
    <t>(surrender value)</t>
  </si>
  <si>
    <t xml:space="preserve">Any other investments (e.g. BBF3)  </t>
  </si>
  <si>
    <t>(asset value)</t>
  </si>
  <si>
    <t>Total</t>
  </si>
  <si>
    <t>Position Risk Requirement</t>
  </si>
  <si>
    <t>BUILDING BLOCK METHOD - PART I</t>
  </si>
  <si>
    <t>LOAN STOCK</t>
  </si>
  <si>
    <t>Workings for General Risk: Maturity-based method</t>
  </si>
  <si>
    <t>Table for Maturity-based Method (see Table 2)</t>
  </si>
  <si>
    <t>Stock Code</t>
  </si>
  <si>
    <t>Position
(Rm)</t>
  </si>
  <si>
    <t>Market
Yield</t>
  </si>
  <si>
    <t>Market
Price</t>
  </si>
  <si>
    <t>Maturity Date</t>
  </si>
  <si>
    <t>Coupon</t>
  </si>
  <si>
    <t>Life
(yrs)</t>
  </si>
  <si>
    <t>"Central Govt Items"</t>
  </si>
  <si>
    <t>Qualifying Items:
&lt;6 moths     6-24     &gt;24 mths</t>
  </si>
  <si>
    <t>Other Items</t>
  </si>
  <si>
    <t>Band</t>
  </si>
  <si>
    <t>Weighted
Position</t>
  </si>
  <si>
    <t>Band 1
Long</t>
  </si>
  <si>
    <t>Band 2
Long</t>
  </si>
  <si>
    <t>Band 3
Long</t>
  </si>
  <si>
    <t>Band 4
Long</t>
  </si>
  <si>
    <t>Band 5
Long</t>
  </si>
  <si>
    <t>Band 6
Long</t>
  </si>
  <si>
    <t>Band 7
Long</t>
  </si>
  <si>
    <t>Band 8
Long</t>
  </si>
  <si>
    <t>Band 9
Long</t>
  </si>
  <si>
    <t>Band 10
Long</t>
  </si>
  <si>
    <t>Band 11
Long</t>
  </si>
  <si>
    <t>Band 12
Long</t>
  </si>
  <si>
    <t>Band 13
Long</t>
  </si>
  <si>
    <t>Band 14
Long</t>
  </si>
  <si>
    <t>Band 15
Long</t>
  </si>
  <si>
    <t>Band 1
Short</t>
  </si>
  <si>
    <t>Band 2
Short</t>
  </si>
  <si>
    <t>Band 3
Short</t>
  </si>
  <si>
    <t>Band 4
Short</t>
  </si>
  <si>
    <t>Band 5
Short</t>
  </si>
  <si>
    <t>Band 6
Short</t>
  </si>
  <si>
    <t>Band 7
Short</t>
  </si>
  <si>
    <t>Band 8
Short</t>
  </si>
  <si>
    <t>Band 9
Short</t>
  </si>
  <si>
    <t>Band 10
Short</t>
  </si>
  <si>
    <t>Band 11
Short</t>
  </si>
  <si>
    <t>Band 12
Short</t>
  </si>
  <si>
    <t>Band 13
Short</t>
  </si>
  <si>
    <t>Band 14
Short</t>
  </si>
  <si>
    <t>Band 15
Short</t>
  </si>
  <si>
    <t>MDuration</t>
  </si>
  <si>
    <t>Zone</t>
  </si>
  <si>
    <t>Duration-
Weighted Posn (Rm)</t>
  </si>
  <si>
    <t>Zone 1:
Long</t>
  </si>
  <si>
    <t>Zone 2:
Long</t>
  </si>
  <si>
    <t>Zone 3:
Long</t>
  </si>
  <si>
    <t>Zone 1:
Short</t>
  </si>
  <si>
    <t>Zone 2:
Short</t>
  </si>
  <si>
    <t>Zone 3:
Short</t>
  </si>
  <si>
    <t>Cpn&gt;=3%</t>
  </si>
  <si>
    <t>R119</t>
  </si>
  <si>
    <t>R147</t>
  </si>
  <si>
    <t>R150</t>
  </si>
  <si>
    <t>R153</t>
  </si>
  <si>
    <t>R160</t>
  </si>
  <si>
    <t>R162</t>
  </si>
  <si>
    <t>R175</t>
  </si>
  <si>
    <t>R177</t>
  </si>
  <si>
    <t>E168</t>
  </si>
  <si>
    <t>E169</t>
  </si>
  <si>
    <t>E170</t>
  </si>
  <si>
    <t>E172</t>
  </si>
  <si>
    <t>LB01</t>
  </si>
  <si>
    <t>TK01</t>
  </si>
  <si>
    <t>TK05</t>
  </si>
  <si>
    <t>T001</t>
  </si>
  <si>
    <t>T004</t>
  </si>
  <si>
    <t>T016</t>
  </si>
  <si>
    <t>DV07</t>
  </si>
  <si>
    <t>Spare</t>
  </si>
  <si>
    <t>Sum of Weighted Long Positions</t>
  </si>
  <si>
    <t xml:space="preserve">  by Band (from above)</t>
  </si>
  <si>
    <t>Sum of Weighted Short Positions</t>
  </si>
  <si>
    <t xml:space="preserve">  by Band (from above right)</t>
  </si>
  <si>
    <t>Matched Weighted Positions</t>
  </si>
  <si>
    <t>Absolute Values of above</t>
  </si>
  <si>
    <t>Unmatched Weighted Positions</t>
  </si>
  <si>
    <t>Unmatched Weighted Long</t>
  </si>
  <si>
    <t>Unmatched Weighted Short</t>
  </si>
  <si>
    <t xml:space="preserve">Zone 1 </t>
  </si>
  <si>
    <t>Zone 2</t>
  </si>
  <si>
    <t>Zone 3</t>
  </si>
  <si>
    <t>Total of Unmatched Weighted</t>
  </si>
  <si>
    <t xml:space="preserve">  Long Positions in Bands</t>
  </si>
  <si>
    <t>Short Positions in Bands</t>
  </si>
  <si>
    <t>BUILDING BLOCK METHOD - PART II</t>
  </si>
  <si>
    <t>A. SECURITIES</t>
  </si>
  <si>
    <t>Liquid Equities (approx.3 times a week)</t>
  </si>
  <si>
    <t>Normal Equities (approx.once a week)</t>
  </si>
  <si>
    <t>Illiquid Equities (approx.once a month)</t>
  </si>
  <si>
    <t>Positions in Equities</t>
  </si>
  <si>
    <t>Long 
Position (R)</t>
  </si>
  <si>
    <t>Short 
Position (R)</t>
  </si>
  <si>
    <t>Specific Risk</t>
  </si>
  <si>
    <t>Gross Position</t>
  </si>
  <si>
    <t>x Percentage</t>
  </si>
  <si>
    <t>Cap Req't (R)</t>
  </si>
  <si>
    <t>General Risk</t>
  </si>
  <si>
    <t>Long Position (R)</t>
  </si>
  <si>
    <t>Short Position (R)</t>
  </si>
  <si>
    <t>Net Position (R)</t>
  </si>
  <si>
    <t>Percentage</t>
  </si>
  <si>
    <t>Cap req't (R)</t>
  </si>
  <si>
    <t>Positions in Equity
Index Futures</t>
  </si>
  <si>
    <t>General risk</t>
  </si>
  <si>
    <t>INDI</t>
  </si>
  <si>
    <t>ALSI</t>
  </si>
  <si>
    <t>FINI</t>
  </si>
  <si>
    <t>MINI</t>
  </si>
  <si>
    <t>Capital requirement for securities</t>
  </si>
  <si>
    <t>B. COMMODITIES</t>
  </si>
  <si>
    <t xml:space="preserve">Physical commodities associated with the members investment business       </t>
  </si>
  <si>
    <t>Capital requirement for commodities</t>
  </si>
  <si>
    <t>C. OTHER INVESTMENTS</t>
  </si>
  <si>
    <t>Value (R)</t>
  </si>
  <si>
    <t>Int in regulated collective inv. scheme</t>
  </si>
  <si>
    <t>(realise value)</t>
  </si>
  <si>
    <t>Int in unreg. futures or option fund</t>
  </si>
  <si>
    <t>With-profit life policies</t>
  </si>
  <si>
    <t>(surrend. value)</t>
  </si>
  <si>
    <t>Any other investment</t>
  </si>
  <si>
    <t>Capital requirement for other investments</t>
  </si>
  <si>
    <t>Position risk requirement for Part II</t>
  </si>
  <si>
    <t>LARGE EXPOSURE REQUIREMENT</t>
  </si>
  <si>
    <t>Adjusted liquid capital (Own funds)</t>
  </si>
  <si>
    <t>Max</t>
  </si>
  <si>
    <t>Sum</t>
  </si>
  <si>
    <t>Last</t>
  </si>
  <si>
    <t>EXPOSURES TO A THIRD PARTY OR A GROUP OF CONNECTED THIRD PARTIES</t>
  </si>
  <si>
    <t>Min</t>
  </si>
  <si>
    <t>Val:</t>
  </si>
  <si>
    <t>All the financial instruments issued by the third party</t>
  </si>
  <si>
    <t>Long
 Position</t>
  </si>
  <si>
    <t>Short Position</t>
  </si>
  <si>
    <t>Net Long Position</t>
  </si>
  <si>
    <t>Appropriate PRR or CRR Percentage</t>
  </si>
  <si>
    <t>Specific/
Counterparty
 Requirement</t>
  </si>
  <si>
    <t>Expos</t>
  </si>
  <si>
    <t>Reqt's</t>
  </si>
  <si>
    <t>Order</t>
  </si>
  <si>
    <t>Exposure Short Names</t>
  </si>
  <si>
    <t>Market Value of Positions</t>
  </si>
  <si>
    <t>Financial Instruments</t>
  </si>
  <si>
    <t>Underwriting commitments</t>
  </si>
  <si>
    <t>Market Value</t>
  </si>
  <si>
    <t>Unsettled securities etc</t>
  </si>
  <si>
    <t>Market Value of Net Exposure</t>
  </si>
  <si>
    <t>Exposures from unsettled securities transactions,repurchase,reverse repurchase,securities lending and borrowing transactions, derivatives and other financial instruments calculated in accordance with Method 1 of the PRR.</t>
  </si>
  <si>
    <t>Total of Exposures</t>
  </si>
  <si>
    <t>All other assets and off balance sheet items constituting claims on third parties (e.g.Commissions, fees receivable)</t>
  </si>
  <si>
    <t>Total of other assets etc.</t>
  </si>
  <si>
    <t>TOTAL EXPOSURE</t>
  </si>
  <si>
    <t>25% Of Adjusted Liquid Capital</t>
  </si>
  <si>
    <t>Excess Exposure</t>
  </si>
  <si>
    <t>Exposures Ranked by Risk:</t>
  </si>
  <si>
    <t>Exposures</t>
  </si>
  <si>
    <t>Cumulative</t>
  </si>
  <si>
    <t>% Applicable</t>
  </si>
  <si>
    <t>PRR/CRR</t>
  </si>
  <si>
    <t>Exps in Xs</t>
  </si>
  <si>
    <t>Total Risk Reqt's of Exposures forming the Excess:</t>
  </si>
  <si>
    <t>Least Exp in Xs</t>
  </si>
  <si>
    <t>200% of above</t>
  </si>
  <si>
    <t>Less PRR/CRR of Exps in Xs</t>
  </si>
  <si>
    <t>LER Limited 
according to 4.4</t>
  </si>
  <si>
    <t>LER Limit</t>
  </si>
  <si>
    <t>FOREIGN EXCHANGE REQUIREMENT</t>
  </si>
  <si>
    <t>METHOD 1</t>
  </si>
  <si>
    <t>Currency</t>
  </si>
  <si>
    <t>Long Position</t>
  </si>
  <si>
    <t>Spot 
Rate</t>
  </si>
  <si>
    <t>Net Position</t>
  </si>
  <si>
    <t>Method 1 FER</t>
  </si>
  <si>
    <t>Method 2 Min</t>
  </si>
  <si>
    <t>US$</t>
  </si>
  <si>
    <t>UK STERLING</t>
  </si>
  <si>
    <t>DMARK</t>
  </si>
  <si>
    <t>YEN</t>
  </si>
  <si>
    <t>SWISS FRANCS</t>
  </si>
  <si>
    <t>Forex Requirement</t>
  </si>
  <si>
    <t>METHOD 2: Simulation Techniques</t>
  </si>
  <si>
    <t>Enter "Y" if Method 2 is chosen:</t>
  </si>
  <si>
    <t>Enter FER calculated by Simulation Techniques:</t>
  </si>
  <si>
    <t>2% floor on FER, calculated above</t>
  </si>
  <si>
    <t>Method 2 FER:</t>
  </si>
  <si>
    <t>Final Foreign Exchange Risk Requirement</t>
  </si>
  <si>
    <t>Capital Requirement for Loan Stock</t>
  </si>
  <si>
    <t>Summary</t>
  </si>
  <si>
    <t>Qualifying Items</t>
  </si>
  <si>
    <t>Other
Items</t>
  </si>
  <si>
    <t>Any Maturity</t>
  </si>
  <si>
    <t>&lt; 6 mths</t>
  </si>
  <si>
    <t>6-24</t>
  </si>
  <si>
    <t>&gt; 24 mths</t>
  </si>
  <si>
    <t>Any maturity</t>
  </si>
  <si>
    <t>Weights</t>
  </si>
  <si>
    <t>Positions (Rm)</t>
  </si>
  <si>
    <t>Total Specific Risk Capital Requirement for Loan Stock under BB Method:</t>
  </si>
  <si>
    <t>Loan Stock Position Risk</t>
  </si>
  <si>
    <t xml:space="preserve">BUILDING BLOCK METHOD - PART I </t>
  </si>
  <si>
    <t>MATURITY BASED SUB METHOD</t>
  </si>
  <si>
    <t>ZONE 1</t>
  </si>
  <si>
    <t>ZONE 2</t>
  </si>
  <si>
    <t>ZONE 3</t>
  </si>
  <si>
    <t>"Unmatched" Weighted Long</t>
  </si>
  <si>
    <t>"Unmatched" Weighted Short</t>
  </si>
  <si>
    <t>Matched Weighted Posn</t>
  </si>
  <si>
    <t>Unmatched Weighted Posns</t>
  </si>
  <si>
    <t>Interzonal Matching:
Order 1</t>
  </si>
  <si>
    <t>Cap
Req't
(R)</t>
  </si>
  <si>
    <t>Zone A 
Input</t>
  </si>
  <si>
    <t>Zone B 
Input</t>
  </si>
  <si>
    <t>Zone A 
Resid</t>
  </si>
  <si>
    <t>Zone B 
Resid</t>
  </si>
  <si>
    <t>ABS(a)
&lt;ABS(b)</t>
  </si>
  <si>
    <t>Zone 1 vs Zone 2</t>
  </si>
  <si>
    <t>Zone 2 vs Zone 3</t>
  </si>
  <si>
    <t>Zone 1 vs Zone 3</t>
  </si>
  <si>
    <t>Residual Unmatched Weighted Positions</t>
  </si>
  <si>
    <t>Total Interzonal Cap Req't: Order 1</t>
  </si>
  <si>
    <t>Interzonal Matching:
Order 2</t>
  </si>
  <si>
    <t>Total Interzonal Cap Req't: Order 2</t>
  </si>
  <si>
    <t>Interzonal Cap Req't (Min)</t>
  </si>
  <si>
    <t>Total Capital Requirement</t>
  </si>
  <si>
    <t>COUNTERPARTY RISK REQUIREMENTS</t>
  </si>
  <si>
    <t>1. Unsettled securities &amp; physical commodities transactions</t>
  </si>
  <si>
    <t>Purchase 
Price</t>
  </si>
  <si>
    <t>Market 
Value</t>
  </si>
  <si>
    <t>Risk 
Value</t>
  </si>
  <si>
    <t>Sub-total</t>
  </si>
  <si>
    <t>1.1. Cash against documents transactions</t>
  </si>
  <si>
    <t>0-7 days after settlement date</t>
  </si>
  <si>
    <t>8-15 days after settlement date</t>
  </si>
  <si>
    <t xml:space="preserve">&gt; 15 days </t>
  </si>
  <si>
    <t>1.2. Settle on balance transactions</t>
  </si>
  <si>
    <t>1.2.1. Guaranteed by clearing house:</t>
  </si>
  <si>
    <t>debit outstanding &gt;15 days since settlement date</t>
  </si>
  <si>
    <t>undelivered security within 15 days since settle day</t>
  </si>
  <si>
    <t>1.3. Free deliveries</t>
  </si>
  <si>
    <t>1.3.1. Free delivery amount</t>
  </si>
  <si>
    <t>Amount 
due</t>
  </si>
  <si>
    <t>Market 
value</t>
  </si>
  <si>
    <t>Risk Value</t>
  </si>
  <si>
    <t>Non-payment against scrip delivered</t>
  </si>
  <si>
    <t>Non-receipt of scrip against payment</t>
  </si>
  <si>
    <t>1.3.2. Guaranteed transaction</t>
  </si>
  <si>
    <t>0 - 15 days since delivery/payment</t>
  </si>
  <si>
    <t>&gt; 15 days since delivery/payment</t>
  </si>
  <si>
    <t>1.3.3. Any other Counterparty</t>
  </si>
  <si>
    <t>0 - 3 days since delivery/payment</t>
  </si>
  <si>
    <t>&gt; 3 days</t>
  </si>
  <si>
    <t>2. Options purchased for counterparty</t>
  </si>
  <si>
    <t>Premium 
paid</t>
  </si>
  <si>
    <t>Non-payment of purchase price after 3 days</t>
  </si>
  <si>
    <t>Option premium paid to writer</t>
  </si>
  <si>
    <t xml:space="preserve">3. Exchange traded margined transactions (including initial margin and variation margin)
</t>
  </si>
  <si>
    <t>Shortfall</t>
  </si>
  <si>
    <t>0-3 days since shortfall</t>
  </si>
  <si>
    <t>4 days and over since shortfall</t>
  </si>
  <si>
    <t>4. Repurchase/reverse purchase agreements (including lending and borrowing and sale and buy back agreements)</t>
  </si>
  <si>
    <t>Collateral</t>
  </si>
  <si>
    <t>Qualifying debt instruments</t>
  </si>
  <si>
    <t>Nominal 
value</t>
  </si>
  <si>
    <t>5. Swaps, forwards, OTC options, contracts for differences and OTC futures…</t>
  </si>
  <si>
    <t>MTM</t>
  </si>
  <si>
    <t>State or authorised counterparty</t>
  </si>
  <si>
    <t>5.1. Interest rate swaps single currency</t>
  </si>
  <si>
    <t>&gt; 1 year to maturity</t>
  </si>
  <si>
    <t>5.2. Cross currency swaps</t>
  </si>
  <si>
    <t xml:space="preserve">&gt; 1 year to maturity </t>
  </si>
  <si>
    <t>5.3. FRA's,OTC derivatives based on interest rates</t>
  </si>
  <si>
    <t xml:space="preserve">&lt; 1 year to maturity </t>
  </si>
  <si>
    <t>5.4. OTC derivatives based on exchange rates, commodity or equity prices</t>
  </si>
  <si>
    <t>&lt; 14 days to maturity</t>
  </si>
  <si>
    <t xml:space="preserve">14 days to 1 year to maturity </t>
  </si>
  <si>
    <t>Banking Institution</t>
  </si>
  <si>
    <t>Any other counterparty</t>
  </si>
  <si>
    <t>6. Loans to counterparties</t>
  </si>
  <si>
    <t>Loan 
amount</t>
  </si>
  <si>
    <t>Amount 
secured</t>
  </si>
  <si>
    <t>Not properly secured</t>
  </si>
  <si>
    <t>7. Sub underwriting agreements</t>
  </si>
  <si>
    <t>Amount 
owed</t>
  </si>
  <si>
    <t>Fees owed &amp; outstanding for &gt; 30 days</t>
  </si>
  <si>
    <t>8. Other receivables and accrued income not covered elsewhere</t>
  </si>
  <si>
    <t>Gross  Exposure</t>
  </si>
  <si>
    <t>Less specific provisions against counterparty balances</t>
  </si>
  <si>
    <t>CRR</t>
  </si>
  <si>
    <t>Bands</t>
  </si>
  <si>
    <t>Weight in %</t>
  </si>
  <si>
    <t>Market price</t>
  </si>
  <si>
    <t xml:space="preserve"> Same Maturity Bands</t>
  </si>
  <si>
    <t xml:space="preserve"> Same Zones</t>
  </si>
  <si>
    <t xml:space="preserve">Capital Requirements -  General Risk </t>
  </si>
  <si>
    <t>Capital Requirement: Maturity-Based Method (see "BBLS Maturity Base")</t>
  </si>
  <si>
    <t>Calculation of Specific Risk</t>
  </si>
  <si>
    <t>Cpn&lt;3%</t>
  </si>
  <si>
    <t>Weight</t>
  </si>
  <si>
    <t>Y</t>
  </si>
  <si>
    <t>Exchange Traded Financial Product Market futures and options</t>
  </si>
  <si>
    <t>Exchange Traded Agricultural Product Market futures and options</t>
  </si>
  <si>
    <t>Derivative Interest Rate Product Market futures and options</t>
  </si>
  <si>
    <t>Broking member with</t>
  </si>
  <si>
    <t>clients</t>
  </si>
  <si>
    <t>member has control and custody of client assets</t>
  </si>
  <si>
    <t>clearing bank has control and custody of client assets</t>
  </si>
  <si>
    <t>member has no clients</t>
  </si>
  <si>
    <t>Fixed assets, net of related secured loans</t>
  </si>
  <si>
    <t>Other long term subordinated loans</t>
  </si>
  <si>
    <t>C5</t>
  </si>
  <si>
    <t>C6</t>
  </si>
  <si>
    <t xml:space="preserve">Investments in securities and finacial instruments: </t>
  </si>
  <si>
    <t>Other assets</t>
  </si>
  <si>
    <t>R194</t>
  </si>
  <si>
    <t>R157</t>
  </si>
  <si>
    <t>R203</t>
  </si>
  <si>
    <t>R186</t>
  </si>
  <si>
    <t>R152</t>
  </si>
  <si>
    <t>R201</t>
  </si>
  <si>
    <t>Shareholders  subordinated loan accounts</t>
  </si>
  <si>
    <t>Report date:</t>
  </si>
  <si>
    <t xml:space="preserve">                 Capital Adequacy Requirement Calculator</t>
  </si>
  <si>
    <t>A USERS GUIDE TO ASSIST IN COMPLETING THE RETURN</t>
  </si>
  <si>
    <t>This guide is will assist you in completing the Safex capital adequacy return. It gives a breakdown of how to complete each page.</t>
  </si>
  <si>
    <t>The pages of the return have been password protected to prevent you from mistakenly deleting a vital formula or cross reference.</t>
  </si>
  <si>
    <t>The red dot in the corner of certain cells gives additional information relating to the type of information required to be entered in that cell. Read these as they may answer some questions you have.</t>
  </si>
  <si>
    <t>Only enter information into the grey highlighted areas.</t>
  </si>
  <si>
    <t>a)</t>
  </si>
  <si>
    <t>b)</t>
  </si>
  <si>
    <t>c)</t>
  </si>
  <si>
    <t xml:space="preserve">This is all you have to enter on this page. The other cells will automatically read </t>
  </si>
  <si>
    <t>information from other pages as you work your way through the spreadsheet.</t>
  </si>
  <si>
    <t>membership. Use the table as a guide.</t>
  </si>
  <si>
    <t>Refer to the letters in column B of the spreadsheet.</t>
  </si>
  <si>
    <t>A1)</t>
  </si>
  <si>
    <t>during the year that have yet to be reflected on financial statements.</t>
  </si>
  <si>
    <t>A2)</t>
  </si>
  <si>
    <t>As above. Also refer to the note in the cell.</t>
  </si>
  <si>
    <t>A3)</t>
  </si>
  <si>
    <t>As above.</t>
  </si>
  <si>
    <t>A4)</t>
  </si>
  <si>
    <t>A5)</t>
  </si>
  <si>
    <t>A6)</t>
  </si>
  <si>
    <t xml:space="preserve">Net profit or loss since the previous audited financial statements. This figure must </t>
  </si>
  <si>
    <t xml:space="preserve">be BEFORE any tax adjustments. </t>
  </si>
  <si>
    <t>MINUS Part B</t>
  </si>
  <si>
    <t>B1)</t>
  </si>
  <si>
    <t>B2)</t>
  </si>
  <si>
    <t>B5)</t>
  </si>
  <si>
    <t>Excludes Safex initial margin.</t>
  </si>
  <si>
    <t>B6)</t>
  </si>
  <si>
    <t>PLUS Part C</t>
  </si>
  <si>
    <t>C1)</t>
  </si>
  <si>
    <t>Guarantees received shall be provided by a Guarantor who is proved to be of sufficient  substance to assure performanceC2)-C3)</t>
  </si>
  <si>
    <t>MINUS Part D</t>
  </si>
  <si>
    <t>D1)</t>
  </si>
  <si>
    <t>The purpose of this calculation is to determine the fixed costs that will be incurred by the member if it were to be liquidated, the average period being 13 weeks. The aim is to determine the admin / non-trading expenditure portion of the income statement and convert this to 13 weeks.</t>
  </si>
  <si>
    <t>b).</t>
  </si>
  <si>
    <t>d)</t>
  </si>
  <si>
    <t>e)</t>
  </si>
  <si>
    <t>f)</t>
  </si>
  <si>
    <t>g)</t>
  </si>
  <si>
    <t>h)</t>
  </si>
  <si>
    <t>i)</t>
  </si>
  <si>
    <t>j)</t>
  </si>
  <si>
    <t>k)</t>
  </si>
  <si>
    <t>figure in cell D14. Also submit a copy of this calculation with the return.</t>
  </si>
  <si>
    <t>Enter the relevant information.</t>
  </si>
  <si>
    <t xml:space="preserve">Enter member's initial capital requirement as per members class and category of </t>
  </si>
  <si>
    <t xml:space="preserve">Per member's latest audited financial statements or as per additional share issues </t>
  </si>
  <si>
    <t xml:space="preserve">4) </t>
  </si>
  <si>
    <t>Annual Operating Costs</t>
  </si>
  <si>
    <t xml:space="preserve">5) </t>
  </si>
  <si>
    <t>Position Risk Choice page</t>
  </si>
  <si>
    <t xml:space="preserve">6) </t>
  </si>
  <si>
    <t>Counterparty Risk Requirement page</t>
  </si>
  <si>
    <t xml:space="preserve">7) </t>
  </si>
  <si>
    <t>Large Exposure Requirement page</t>
  </si>
  <si>
    <t>8)</t>
  </si>
  <si>
    <t>"BB Securities etc."</t>
  </si>
  <si>
    <t>Foreign Exchange Requirement page</t>
  </si>
  <si>
    <t>Tax is computed as if the member were to immediately cease trading, realise its investments at the revailing prices and incur no further costs other than those represented by its 13 weeks operating costs</t>
  </si>
  <si>
    <t xml:space="preserve">1) </t>
  </si>
  <si>
    <t>Summary page</t>
  </si>
  <si>
    <t>Initial Capital page</t>
  </si>
  <si>
    <t>3)</t>
  </si>
  <si>
    <t xml:space="preserve"> Own Funds page</t>
  </si>
  <si>
    <r>
      <t xml:space="preserve">Enter the name of the member who is submitting the return next to </t>
    </r>
    <r>
      <rPr>
        <sz val="12"/>
        <color indexed="10"/>
        <rFont val="Arial"/>
        <family val="2"/>
      </rPr>
      <t>"Company name".</t>
    </r>
  </si>
  <si>
    <r>
      <t xml:space="preserve">Enter the date on which the figures are based next to </t>
    </r>
    <r>
      <rPr>
        <sz val="12"/>
        <color indexed="10"/>
        <rFont val="Arial"/>
        <family val="2"/>
      </rPr>
      <t>"These figures as at"</t>
    </r>
    <r>
      <rPr>
        <sz val="12"/>
        <rFont val="Arial"/>
        <family val="2"/>
      </rPr>
      <t>.</t>
    </r>
  </si>
  <si>
    <r>
      <t>"</t>
    </r>
    <r>
      <rPr>
        <sz val="12"/>
        <color indexed="10"/>
        <rFont val="Arial"/>
        <family val="2"/>
      </rPr>
      <t>Total Revenue"</t>
    </r>
    <r>
      <rPr>
        <sz val="12"/>
        <rFont val="Arial"/>
        <family val="2"/>
      </rPr>
      <t xml:space="preserve"> can also be interpreted as Net revenue.</t>
    </r>
  </si>
  <si>
    <r>
      <t>"Previous year audited loss"</t>
    </r>
    <r>
      <rPr>
        <sz val="12"/>
        <rFont val="Arial"/>
        <family val="2"/>
      </rPr>
      <t xml:space="preserve"> self explanatory.</t>
    </r>
  </si>
  <si>
    <r>
      <t xml:space="preserve">"Profit / loss before tax" </t>
    </r>
    <r>
      <rPr>
        <sz val="12"/>
        <rFont val="Arial"/>
        <family val="2"/>
      </rPr>
      <t>as currently reflected in your unaudited income statement.</t>
    </r>
  </si>
  <si>
    <r>
      <t>"Bonuses"</t>
    </r>
    <r>
      <rPr>
        <sz val="12"/>
        <rFont val="Arial"/>
        <family val="2"/>
      </rPr>
      <t xml:space="preserve"> as per current year income statement that were not guaranteed ie. Incentive bonuses.</t>
    </r>
  </si>
  <si>
    <r>
      <t>"Profit shares"</t>
    </r>
    <r>
      <rPr>
        <sz val="12"/>
        <rFont val="Arial"/>
        <family val="2"/>
      </rPr>
      <t xml:space="preserve"> that are payable even if the member makes a loss for the year.</t>
    </r>
  </si>
  <si>
    <r>
      <t>"Commissions paid"</t>
    </r>
    <r>
      <rPr>
        <sz val="12"/>
        <rFont val="Arial"/>
        <family val="2"/>
      </rPr>
      <t xml:space="preserve"> other than to appointed representatives or agents of the member. </t>
    </r>
  </si>
  <si>
    <r>
      <t>"Fees and charges"</t>
    </r>
    <r>
      <rPr>
        <sz val="12"/>
        <rFont val="Arial"/>
        <family val="2"/>
      </rPr>
      <t xml:space="preserve"> paid to clearing houses etc. Can de included if the cost will not continue at liquidation.</t>
    </r>
  </si>
  <si>
    <r>
      <t>"Interest payable to counterparties"</t>
    </r>
    <r>
      <rPr>
        <sz val="12"/>
        <rFont val="Arial"/>
        <family val="2"/>
      </rPr>
      <t xml:space="preserve"> e.g. on repo's and carries.</t>
    </r>
  </si>
  <si>
    <r>
      <t>"Interest payable on borrowings"</t>
    </r>
    <r>
      <rPr>
        <sz val="12"/>
        <rFont val="Arial"/>
        <family val="2"/>
      </rPr>
      <t xml:space="preserve"> to finance long term investment business.</t>
    </r>
  </si>
  <si>
    <r>
      <t>"Foreign currency loss"</t>
    </r>
    <r>
      <rPr>
        <sz val="12"/>
        <rFont val="Arial"/>
        <family val="2"/>
      </rPr>
      <t xml:space="preserve"> self explanatory.</t>
    </r>
  </si>
  <si>
    <r>
      <t>"Abnormal or extraordinary items"</t>
    </r>
    <r>
      <rPr>
        <sz val="12"/>
        <rFont val="Arial"/>
        <family val="2"/>
      </rPr>
      <t xml:space="preserve"> self explanatory.</t>
    </r>
  </si>
  <si>
    <r>
      <t>Method 1 - simple :</t>
    </r>
    <r>
      <rPr>
        <sz val="12"/>
        <rFont val="Arial"/>
        <family val="2"/>
      </rPr>
      <t xml:space="preserve"> enter a "y" and then complete the page </t>
    </r>
    <r>
      <rPr>
        <sz val="12"/>
        <color indexed="12"/>
        <rFont val="Arial"/>
        <family val="2"/>
      </rPr>
      <t>"Simple"</t>
    </r>
  </si>
  <si>
    <r>
      <t xml:space="preserve">Method 2 - building block </t>
    </r>
    <r>
      <rPr>
        <sz val="12"/>
        <rFont val="Arial"/>
        <family val="2"/>
      </rPr>
      <t xml:space="preserve">: enter a "y" and complete pages </t>
    </r>
    <r>
      <rPr>
        <sz val="12"/>
        <color indexed="12"/>
        <rFont val="Arial"/>
        <family val="2"/>
      </rPr>
      <t xml:space="preserve">"BB Loan Stock" and </t>
    </r>
  </si>
  <si>
    <r>
      <t xml:space="preserve">Method 3 - in house value at risk model </t>
    </r>
    <r>
      <rPr>
        <sz val="12"/>
        <rFont val="Arial"/>
        <family val="2"/>
      </rPr>
      <t xml:space="preserve">: enter a "y" and then enter your risk </t>
    </r>
  </si>
  <si>
    <r>
      <t xml:space="preserve">Work your way through the page </t>
    </r>
    <r>
      <rPr>
        <b/>
        <sz val="12"/>
        <color indexed="12"/>
        <rFont val="Arial"/>
        <family val="2"/>
      </rPr>
      <t>"Counterparty Risk Req't"</t>
    </r>
    <r>
      <rPr>
        <sz val="12"/>
        <rFont val="Arial"/>
        <family val="2"/>
      </rPr>
      <t xml:space="preserve"> and evaluate if any of your investments or positions are subject to counterparty risk.</t>
    </r>
  </si>
  <si>
    <r>
      <t xml:space="preserve">Work your way through the page </t>
    </r>
    <r>
      <rPr>
        <sz val="12"/>
        <color indexed="12"/>
        <rFont val="Arial"/>
        <family val="2"/>
      </rPr>
      <t>"Large Exposure Req't"</t>
    </r>
    <r>
      <rPr>
        <sz val="12"/>
        <rFont val="Arial"/>
        <family val="2"/>
      </rPr>
      <t xml:space="preserve"> and evaluate if any of your investments or positions fall within the category.</t>
    </r>
  </si>
  <si>
    <r>
      <t xml:space="preserve">Work your way through the page </t>
    </r>
    <r>
      <rPr>
        <sz val="12"/>
        <color indexed="12"/>
        <rFont val="Arial"/>
        <family val="2"/>
      </rPr>
      <t>"Forex Req't"</t>
    </r>
    <r>
      <rPr>
        <sz val="12"/>
        <rFont val="Arial"/>
        <family val="2"/>
      </rPr>
      <t xml:space="preserve"> and enter the relevant currency information.</t>
    </r>
  </si>
  <si>
    <t>Calculator</t>
  </si>
  <si>
    <t>Capital Adequacy</t>
  </si>
  <si>
    <t xml:space="preserve">General reserve but not a building revaluation </t>
  </si>
  <si>
    <t>Latest audited financial statements.</t>
  </si>
  <si>
    <t>Intangible assets e.g. goodwill.</t>
  </si>
  <si>
    <t>B3)</t>
  </si>
  <si>
    <t>B4)</t>
  </si>
  <si>
    <t>The book value of its investments in unlisted securities, including it's investment in any subsidiary company</t>
  </si>
  <si>
    <t>Member assets pledged to secure a guarantee provided by the clearing bank</t>
  </si>
  <si>
    <t>C2) &amp; C3)</t>
  </si>
  <si>
    <t>Fixed assets net of related secured loans</t>
  </si>
  <si>
    <t>Shareholding of 10% or more of a financial institution's own funds as calculated in A1- A6</t>
  </si>
  <si>
    <t xml:space="preserve">Annual Fixed Costs </t>
  </si>
  <si>
    <t xml:space="preserve">LESS:                                           Variable operating costs </t>
  </si>
  <si>
    <t xml:space="preserve">Subordinated loan accounts shall be legally subordinated in the manner prescribed by the Director: Surveillance </t>
  </si>
  <si>
    <t xml:space="preserve">but may be repaid subject to prior written approvalof the  Director: Surveillance </t>
  </si>
  <si>
    <t xml:space="preserve">2) </t>
  </si>
  <si>
    <t>The latest audited annual finacial statement can be used to determine the 13 weeks operating costs</t>
  </si>
</sst>
</file>

<file path=xl/styles.xml><?xml version="1.0" encoding="utf-8"?>
<styleSheet xmlns="http://schemas.openxmlformats.org/spreadsheetml/2006/main">
  <numFmts count="57">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R&quot;#,##0;\-&quot;R&quot;#,##0"/>
    <numFmt numFmtId="179" formatCode="&quot;R&quot;#,##0;[Red]\-&quot;R&quot;#,##0"/>
    <numFmt numFmtId="180" formatCode="&quot;R&quot;#,##0.00;\-&quot;R&quot;#,##0.00"/>
    <numFmt numFmtId="181" formatCode="&quot;R&quot;#,##0.00;[Red]\-&quot;R&quot;#,##0.00"/>
    <numFmt numFmtId="182" formatCode="_-&quot;R&quot;* #,##0_-;\-&quot;R&quot;* #,##0_-;_-&quot;R&quot;* &quot;-&quot;_-;_-@_-"/>
    <numFmt numFmtId="183" formatCode="_-* #,##0_-;\-* #,##0_-;_-* &quot;-&quot;_-;_-@_-"/>
    <numFmt numFmtId="184" formatCode="_-&quot;R&quot;* #,##0.00_-;\-&quot;R&quot;* #,##0.00_-;_-&quot;R&quot;* &quot;-&quot;??_-;_-@_-"/>
    <numFmt numFmtId="185" formatCode="_-* #,##0.00_-;\-* #,##0.00_-;_-* &quot;-&quot;??_-;_-@_-"/>
    <numFmt numFmtId="186" formatCode="_(* #,##0.0_);_(* \(#,##0.0\);_(* &quot;-&quot;??_);_(@_)"/>
    <numFmt numFmtId="187" formatCode="_(* #,##0_);_(* \(#,##0\);_(* &quot;-&quot;??_);_(@_)"/>
    <numFmt numFmtId="188" formatCode="0.0"/>
    <numFmt numFmtId="189" formatCode="_(* #,##0.000_);_(* \(#,##0.000\);_(* &quot;-&quot;??_);_(@_)"/>
    <numFmt numFmtId="190" formatCode="0.00000"/>
    <numFmt numFmtId="191" formatCode="m/d/yy"/>
    <numFmt numFmtId="192" formatCode="_-* #,##0.0_-;\-* #,##0.0_-;_-* &quot;-&quot;??_-;_-@_-"/>
    <numFmt numFmtId="193" formatCode="_-* #,##0_-;\-* #,##0_-;_-* &quot;-&quot;??_-;_-@_-"/>
    <numFmt numFmtId="194" formatCode="d\-m"/>
    <numFmt numFmtId="195" formatCode="d/m"/>
    <numFmt numFmtId="196" formatCode="0.0000"/>
    <numFmt numFmtId="197" formatCode="0.000"/>
    <numFmt numFmtId="198" formatCode="0.0%"/>
    <numFmt numFmtId="199" formatCode="_-* #,##0.000_-;\-* #,##0.000_-;_-* &quot;-&quot;??_-;_-@_-"/>
    <numFmt numFmtId="200" formatCode="&quot;R&quot;#,##0.0_);[Red]\(&quot;R&quot;#,##0.0\)"/>
    <numFmt numFmtId="201" formatCode="&quot;R&quot;#,##0.000_);[Red]\(&quot;R&quot;#,##0.000\)"/>
    <numFmt numFmtId="202" formatCode="0.000%"/>
    <numFmt numFmtId="203" formatCode="_-* #,##0.0_-;\-* #,##0.0_-;_-* &quot;-&quot;_-;_-@_-"/>
    <numFmt numFmtId="204" formatCode="_-* #,##0.00_-;\-* #,##0.00_-;_-* &quot;-&quot;_-;_-@_-"/>
    <numFmt numFmtId="205" formatCode="#,##0.0"/>
    <numFmt numFmtId="206" formatCode="m/d/yy\ h:mm\ AM/PM"/>
    <numFmt numFmtId="207" formatCode="mm/dd/yy"/>
    <numFmt numFmtId="208" formatCode="0.000_);[Red]\(0.000\)"/>
    <numFmt numFmtId="209" formatCode="#,##0.000_);[Red]\(#,##0.000\)"/>
    <numFmt numFmtId="210" formatCode="&quot;Yes&quot;;&quot;Yes&quot;;&quot;No&quot;"/>
    <numFmt numFmtId="211" formatCode="&quot;True&quot;;&quot;True&quot;;&quot;False&quot;"/>
    <numFmt numFmtId="212" formatCode="&quot;On&quot;;&quot;On&quot;;&quot;Off&quot;"/>
  </numFmts>
  <fonts count="53">
    <font>
      <sz val="10"/>
      <name val="Arial"/>
      <family val="0"/>
    </font>
    <font>
      <b/>
      <sz val="10"/>
      <name val="Arial"/>
      <family val="0"/>
    </font>
    <font>
      <i/>
      <sz val="10"/>
      <name val="Arial"/>
      <family val="0"/>
    </font>
    <font>
      <b/>
      <i/>
      <sz val="10"/>
      <name val="Arial"/>
      <family val="0"/>
    </font>
    <font>
      <b/>
      <sz val="14"/>
      <name val="Arial"/>
      <family val="0"/>
    </font>
    <font>
      <sz val="14"/>
      <name val="Arial"/>
      <family val="2"/>
    </font>
    <font>
      <b/>
      <sz val="12"/>
      <name val="Arial"/>
      <family val="2"/>
    </font>
    <font>
      <sz val="12"/>
      <name val="Arial"/>
      <family val="2"/>
    </font>
    <font>
      <sz val="18"/>
      <name val="Arial"/>
      <family val="2"/>
    </font>
    <font>
      <sz val="10"/>
      <color indexed="10"/>
      <name val="Arial"/>
      <family val="2"/>
    </font>
    <font>
      <b/>
      <sz val="14"/>
      <color indexed="8"/>
      <name val="Arial"/>
      <family val="2"/>
    </font>
    <font>
      <sz val="10"/>
      <color indexed="8"/>
      <name val="Arial"/>
      <family val="2"/>
    </font>
    <font>
      <b/>
      <sz val="12"/>
      <color indexed="8"/>
      <name val="Arial"/>
      <family val="2"/>
    </font>
    <font>
      <b/>
      <sz val="10"/>
      <color indexed="60"/>
      <name val="Arial"/>
      <family val="2"/>
    </font>
    <font>
      <sz val="10"/>
      <color indexed="13"/>
      <name val="Arial"/>
      <family val="2"/>
    </font>
    <font>
      <sz val="10"/>
      <color indexed="50"/>
      <name val="Arial"/>
      <family val="2"/>
    </font>
    <font>
      <b/>
      <sz val="12"/>
      <color indexed="10"/>
      <name val="Arial"/>
      <family val="2"/>
    </font>
    <font>
      <b/>
      <sz val="10"/>
      <color indexed="36"/>
      <name val="Arial"/>
      <family val="2"/>
    </font>
    <font>
      <b/>
      <sz val="10"/>
      <color indexed="10"/>
      <name val="Arial"/>
      <family val="0"/>
    </font>
    <font>
      <sz val="10"/>
      <color indexed="37"/>
      <name val="Arial"/>
      <family val="2"/>
    </font>
    <font>
      <b/>
      <sz val="12"/>
      <color indexed="12"/>
      <name val="Arial"/>
      <family val="0"/>
    </font>
    <font>
      <sz val="10"/>
      <color indexed="11"/>
      <name val="Arial"/>
      <family val="2"/>
    </font>
    <font>
      <b/>
      <sz val="10"/>
      <color indexed="8"/>
      <name val="Arial"/>
      <family val="0"/>
    </font>
    <font>
      <b/>
      <sz val="16"/>
      <name val="Arial"/>
      <family val="2"/>
    </font>
    <font>
      <sz val="10"/>
      <color indexed="38"/>
      <name val="Arial"/>
      <family val="2"/>
    </font>
    <font>
      <b/>
      <sz val="10"/>
      <color indexed="12"/>
      <name val="Arial"/>
      <family val="2"/>
    </font>
    <font>
      <sz val="10"/>
      <color indexed="12"/>
      <name val="Arial"/>
      <family val="2"/>
    </font>
    <font>
      <b/>
      <sz val="20"/>
      <name val="Arial"/>
      <family val="2"/>
    </font>
    <font>
      <sz val="12"/>
      <color indexed="12"/>
      <name val="Arial"/>
      <family val="2"/>
    </font>
    <font>
      <b/>
      <u val="single"/>
      <sz val="14"/>
      <name val="Arial"/>
      <family val="2"/>
    </font>
    <font>
      <b/>
      <sz val="10"/>
      <color indexed="32"/>
      <name val="Arial"/>
      <family val="2"/>
    </font>
    <font>
      <b/>
      <sz val="10"/>
      <color indexed="63"/>
      <name val="Arial"/>
      <family val="2"/>
    </font>
    <font>
      <b/>
      <sz val="9"/>
      <color indexed="63"/>
      <name val="Arial"/>
      <family val="2"/>
    </font>
    <font>
      <b/>
      <sz val="9"/>
      <color indexed="10"/>
      <name val="Arial"/>
      <family val="2"/>
    </font>
    <font>
      <b/>
      <u val="single"/>
      <sz val="12"/>
      <name val="Arial"/>
      <family val="2"/>
    </font>
    <font>
      <b/>
      <sz val="11"/>
      <name val="Arial"/>
      <family val="0"/>
    </font>
    <font>
      <b/>
      <sz val="18"/>
      <color indexed="8"/>
      <name val="Arial"/>
      <family val="2"/>
    </font>
    <font>
      <b/>
      <sz val="16"/>
      <color indexed="8"/>
      <name val="Arial"/>
      <family val="2"/>
    </font>
    <font>
      <sz val="10"/>
      <color indexed="17"/>
      <name val="Arial"/>
      <family val="2"/>
    </font>
    <font>
      <b/>
      <sz val="10"/>
      <color indexed="20"/>
      <name val="Arial"/>
      <family val="2"/>
    </font>
    <font>
      <b/>
      <sz val="14"/>
      <color indexed="12"/>
      <name val="Arial"/>
      <family val="2"/>
    </font>
    <font>
      <sz val="10"/>
      <color indexed="20"/>
      <name val="Arial"/>
      <family val="2"/>
    </font>
    <font>
      <b/>
      <sz val="8"/>
      <color indexed="12"/>
      <name val="Arial"/>
      <family val="2"/>
    </font>
    <font>
      <sz val="8"/>
      <name val="Tahoma"/>
      <family val="0"/>
    </font>
    <font>
      <b/>
      <sz val="10"/>
      <color indexed="14"/>
      <name val="Arial"/>
      <family val="2"/>
    </font>
    <font>
      <sz val="16"/>
      <name val="Arial"/>
      <family val="2"/>
    </font>
    <font>
      <u val="single"/>
      <sz val="10"/>
      <name val="Arial"/>
      <family val="2"/>
    </font>
    <font>
      <sz val="12"/>
      <color indexed="10"/>
      <name val="Arial"/>
      <family val="2"/>
    </font>
    <font>
      <b/>
      <sz val="26"/>
      <name val="Arial"/>
      <family val="2"/>
    </font>
    <font>
      <sz val="12"/>
      <color indexed="48"/>
      <name val="Arial"/>
      <family val="2"/>
    </font>
    <font>
      <u val="single"/>
      <sz val="12"/>
      <name val="Arial"/>
      <family val="2"/>
    </font>
    <font>
      <sz val="12"/>
      <color indexed="8"/>
      <name val="Arial"/>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34"/>
        <bgColor indexed="64"/>
      </patternFill>
    </fill>
    <fill>
      <patternFill patternType="solid">
        <fgColor indexed="42"/>
        <bgColor indexed="64"/>
      </patternFill>
    </fill>
  </fills>
  <borders count="9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hair"/>
      <bottom style="hair"/>
    </border>
    <border>
      <left>
        <color indexed="63"/>
      </left>
      <right style="thin"/>
      <top>
        <color indexed="63"/>
      </top>
      <bottom>
        <color indexed="63"/>
      </bottom>
    </border>
    <border>
      <left style="thin"/>
      <right style="thin"/>
      <top>
        <color indexed="63"/>
      </top>
      <bottom style="medium"/>
    </border>
    <border>
      <left style="medium"/>
      <right>
        <color indexed="63"/>
      </right>
      <top style="thin"/>
      <bottom>
        <color indexed="63"/>
      </bottom>
    </border>
    <border>
      <left style="medium"/>
      <right>
        <color indexed="63"/>
      </right>
      <top style="thin"/>
      <bottom style="thin"/>
    </border>
    <border>
      <left style="thin"/>
      <right style="thin"/>
      <top style="medium"/>
      <bottom>
        <color indexed="63"/>
      </bottom>
    </border>
    <border>
      <left style="medium"/>
      <right>
        <color indexed="63"/>
      </right>
      <top>
        <color indexed="63"/>
      </top>
      <bottom style="thin"/>
    </border>
    <border>
      <left>
        <color indexed="63"/>
      </left>
      <right style="medium"/>
      <top style="medium"/>
      <bottom style="medium"/>
    </border>
    <border>
      <left style="thin"/>
      <right style="thin"/>
      <top style="medium"/>
      <bottom style="medium"/>
    </border>
    <border>
      <left style="thin"/>
      <right style="thin"/>
      <top style="medium"/>
      <bottom style="thin"/>
    </border>
    <border>
      <left style="thin"/>
      <right>
        <color indexed="63"/>
      </right>
      <top style="thin"/>
      <bottom style="thin"/>
    </border>
    <border>
      <left style="medium"/>
      <right style="medium"/>
      <top style="medium"/>
      <bottom style="medium"/>
    </border>
    <border>
      <left style="thin"/>
      <right style="medium"/>
      <top style="medium"/>
      <bottom style="medium"/>
    </border>
    <border>
      <left>
        <color indexed="63"/>
      </left>
      <right style="thin"/>
      <top style="thin"/>
      <bottom>
        <color indexed="63"/>
      </bottom>
    </border>
    <border>
      <left>
        <color indexed="63"/>
      </left>
      <right>
        <color indexed="63"/>
      </right>
      <top style="thin"/>
      <bottom style="thin"/>
    </border>
    <border>
      <left style="medium"/>
      <right>
        <color indexed="63"/>
      </right>
      <top style="medium"/>
      <bottom style="thin"/>
    </border>
    <border>
      <left style="thin"/>
      <right>
        <color indexed="63"/>
      </right>
      <top>
        <color indexed="63"/>
      </top>
      <bottom>
        <color indexed="63"/>
      </bottom>
    </border>
    <border>
      <left style="thin"/>
      <right>
        <color indexed="63"/>
      </right>
      <top>
        <color indexed="63"/>
      </top>
      <bottom style="double"/>
    </border>
    <border>
      <left style="thin"/>
      <right style="thin"/>
      <top style="thin"/>
      <bottom style="double"/>
    </border>
    <border>
      <left>
        <color indexed="63"/>
      </left>
      <right style="thin"/>
      <top>
        <color indexed="63"/>
      </top>
      <bottom style="thin"/>
    </border>
    <border>
      <left>
        <color indexed="63"/>
      </left>
      <right style="thin"/>
      <top style="thin"/>
      <bottom style="thin"/>
    </border>
    <border>
      <left style="thin"/>
      <right>
        <color indexed="63"/>
      </right>
      <top>
        <color indexed="63"/>
      </top>
      <bottom style="double">
        <color indexed="10"/>
      </bottom>
    </border>
    <border>
      <left style="thin"/>
      <right style="thin"/>
      <top style="thin"/>
      <bottom style="thin">
        <color indexed="10"/>
      </bottom>
    </border>
    <border>
      <left style="thin"/>
      <right style="thin"/>
      <top style="thin"/>
      <bottom style="medium"/>
    </border>
    <border>
      <left style="medium"/>
      <right style="medium"/>
      <top>
        <color indexed="63"/>
      </top>
      <bottom>
        <color indexed="63"/>
      </bottom>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style="medium"/>
      <top>
        <color indexed="63"/>
      </top>
      <bottom style="medium"/>
    </border>
    <border>
      <left>
        <color indexed="63"/>
      </left>
      <right>
        <color indexed="63"/>
      </right>
      <top>
        <color indexed="63"/>
      </top>
      <bottom style="double"/>
    </border>
    <border>
      <left>
        <color indexed="63"/>
      </left>
      <right>
        <color indexed="63"/>
      </right>
      <top style="thin"/>
      <bottom style="double"/>
    </border>
    <border>
      <left style="medium"/>
      <right style="thin"/>
      <top style="thin"/>
      <bottom>
        <color indexed="63"/>
      </bottom>
    </border>
    <border>
      <left style="medium"/>
      <right style="thin"/>
      <top style="hair"/>
      <bottom style="thin"/>
    </border>
    <border>
      <left style="medium"/>
      <right style="thin"/>
      <top>
        <color indexed="63"/>
      </top>
      <bottom style="thin"/>
    </border>
    <border>
      <left style="medium"/>
      <right style="medium"/>
      <top style="hair"/>
      <bottom style="medium"/>
    </border>
    <border>
      <left style="medium"/>
      <right style="thin"/>
      <top style="medium"/>
      <bottom style="medium"/>
    </border>
    <border>
      <left style="medium"/>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
      <left>
        <color indexed="63"/>
      </left>
      <right style="medium"/>
      <top style="medium"/>
      <bottom style="thin"/>
    </border>
    <border>
      <left style="thin"/>
      <right style="medium"/>
      <top>
        <color indexed="63"/>
      </top>
      <bottom style="medium"/>
    </border>
    <border>
      <left style="thin"/>
      <right style="thin"/>
      <top style="thin"/>
      <bottom style="double">
        <color indexed="10"/>
      </bottom>
    </border>
    <border>
      <left>
        <color indexed="63"/>
      </left>
      <right>
        <color indexed="63"/>
      </right>
      <top style="thin">
        <color indexed="10"/>
      </top>
      <bottom style="double">
        <color indexed="10"/>
      </bottom>
    </border>
    <border>
      <left>
        <color indexed="63"/>
      </left>
      <right>
        <color indexed="63"/>
      </right>
      <top style="thick">
        <color indexed="10"/>
      </top>
      <bottom style="thick">
        <color indexed="10"/>
      </bottom>
    </border>
    <border>
      <left>
        <color indexed="63"/>
      </left>
      <right>
        <color indexed="63"/>
      </right>
      <top style="medium">
        <color indexed="10"/>
      </top>
      <bottom style="medium">
        <color indexed="10"/>
      </bottom>
    </border>
    <border>
      <left>
        <color indexed="63"/>
      </left>
      <right style="thin"/>
      <top style="thin"/>
      <bottom style="double"/>
    </border>
    <border>
      <left style="thin"/>
      <right style="thin"/>
      <top style="hair"/>
      <bottom style="hair"/>
    </border>
    <border>
      <left>
        <color indexed="63"/>
      </left>
      <right style="medium"/>
      <top style="hair"/>
      <bottom style="hair"/>
    </border>
    <border>
      <left>
        <color indexed="63"/>
      </left>
      <right>
        <color indexed="63"/>
      </right>
      <top style="hair"/>
      <bottom style="hair"/>
    </border>
    <border>
      <left style="thin"/>
      <right style="medium"/>
      <top style="hair"/>
      <bottom style="hair"/>
    </border>
    <border>
      <left style="thin"/>
      <right style="thin"/>
      <top style="hair"/>
      <bottom style="medium"/>
    </border>
    <border>
      <left>
        <color indexed="63"/>
      </left>
      <right style="medium"/>
      <top style="hair"/>
      <bottom style="medium"/>
    </border>
    <border>
      <left style="medium"/>
      <right style="thin"/>
      <top style="medium"/>
      <bottom style="thin"/>
    </border>
    <border>
      <left>
        <color indexed="63"/>
      </left>
      <right>
        <color indexed="63"/>
      </right>
      <top style="medium"/>
      <bottom style="double"/>
    </border>
    <border>
      <left style="medium"/>
      <right style="thin"/>
      <top style="hair"/>
      <bottom style="hair"/>
    </border>
    <border>
      <left style="medium"/>
      <right style="thin"/>
      <top style="thin"/>
      <bottom style="hair"/>
    </border>
    <border>
      <left style="thin"/>
      <right style="thin"/>
      <top style="thin"/>
      <bottom style="hair"/>
    </border>
    <border>
      <left style="thin"/>
      <right style="thin"/>
      <top style="hair"/>
      <bottom style="double"/>
    </border>
    <border>
      <left style="thin"/>
      <right style="thin"/>
      <top style="hair"/>
      <bottom style="thin"/>
    </border>
    <border>
      <left style="thin"/>
      <right style="thin"/>
      <top>
        <color indexed="63"/>
      </top>
      <bottom style="hair"/>
    </border>
    <border>
      <left style="medium"/>
      <right style="medium"/>
      <top style="thin"/>
      <bottom style="thin"/>
    </border>
    <border>
      <left style="medium">
        <color indexed="12"/>
      </left>
      <right style="medium">
        <color indexed="12"/>
      </right>
      <top style="medium">
        <color indexed="12"/>
      </top>
      <bottom style="medium">
        <color indexed="12"/>
      </bottom>
    </border>
    <border>
      <left style="medium">
        <color indexed="12"/>
      </left>
      <right>
        <color indexed="63"/>
      </right>
      <top>
        <color indexed="63"/>
      </top>
      <bottom>
        <color indexed="63"/>
      </bottom>
    </border>
    <border>
      <left style="thin"/>
      <right style="thin"/>
      <top style="hair"/>
      <bottom>
        <color indexed="63"/>
      </bottom>
    </border>
    <border>
      <left>
        <color indexed="63"/>
      </left>
      <right>
        <color indexed="63"/>
      </right>
      <top>
        <color indexed="63"/>
      </top>
      <bottom style="double">
        <color indexed="10"/>
      </bottom>
    </border>
    <border>
      <left style="thin"/>
      <right>
        <color indexed="63"/>
      </right>
      <top>
        <color indexed="63"/>
      </top>
      <bottom style="medium"/>
    </border>
    <border>
      <left>
        <color indexed="63"/>
      </left>
      <right style="thin"/>
      <top style="thin"/>
      <bottom style="hair"/>
    </border>
    <border>
      <left style="thin"/>
      <right style="thin"/>
      <top style="thin">
        <color indexed="10"/>
      </top>
      <bottom style="double">
        <color indexed="10"/>
      </bottom>
    </border>
    <border>
      <left>
        <color indexed="63"/>
      </left>
      <right>
        <color indexed="63"/>
      </right>
      <top style="medium"/>
      <bottom style="thin"/>
    </border>
    <border>
      <left>
        <color indexed="63"/>
      </left>
      <right>
        <color indexed="63"/>
      </right>
      <top style="medium">
        <color indexed="10"/>
      </top>
      <bottom style="double">
        <color indexed="10"/>
      </bottom>
    </border>
    <border>
      <left style="medium"/>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cellStyleXfs>
  <cellXfs count="792">
    <xf numFmtId="0" fontId="0" fillId="0" borderId="0" xfId="0" applyAlignment="1">
      <alignment/>
    </xf>
    <xf numFmtId="0" fontId="0" fillId="0" borderId="1" xfId="0" applyBorder="1" applyAlignment="1">
      <alignment/>
    </xf>
    <xf numFmtId="0" fontId="1" fillId="0" borderId="0" xfId="0" applyFont="1" applyAlignment="1">
      <alignment/>
    </xf>
    <xf numFmtId="0" fontId="0" fillId="0" borderId="0" xfId="0" applyBorder="1" applyAlignment="1">
      <alignment/>
    </xf>
    <xf numFmtId="0" fontId="1" fillId="0" borderId="0" xfId="0" applyFont="1" applyAlignment="1">
      <alignment horizontal="left"/>
    </xf>
    <xf numFmtId="183" fontId="0" fillId="0" borderId="0" xfId="0" applyNumberFormat="1" applyBorder="1" applyAlignment="1">
      <alignment/>
    </xf>
    <xf numFmtId="0" fontId="0" fillId="0" borderId="0" xfId="0" applyAlignment="1">
      <alignment/>
    </xf>
    <xf numFmtId="0" fontId="0" fillId="0" borderId="0" xfId="0" applyAlignment="1">
      <alignment wrapText="1"/>
    </xf>
    <xf numFmtId="0" fontId="0" fillId="0" borderId="0" xfId="0" applyAlignment="1">
      <alignment horizontal="centerContinuous"/>
    </xf>
    <xf numFmtId="0" fontId="0" fillId="2" borderId="0" xfId="0" applyFill="1" applyAlignment="1">
      <alignment/>
    </xf>
    <xf numFmtId="0" fontId="0" fillId="2" borderId="0" xfId="0" applyFill="1" applyBorder="1" applyAlignment="1">
      <alignment/>
    </xf>
    <xf numFmtId="0" fontId="5" fillId="2" borderId="0" xfId="0" applyFont="1" applyFill="1" applyBorder="1" applyAlignment="1">
      <alignment horizontal="centerContinuous"/>
    </xf>
    <xf numFmtId="0" fontId="0" fillId="2" borderId="0" xfId="0" applyFill="1" applyBorder="1" applyAlignment="1">
      <alignment horizontal="centerContinuous"/>
    </xf>
    <xf numFmtId="0" fontId="0" fillId="2" borderId="0" xfId="0" applyFill="1" applyBorder="1" applyAlignment="1">
      <alignment horizontal="left"/>
    </xf>
    <xf numFmtId="0" fontId="0" fillId="2" borderId="0" xfId="0" applyFill="1" applyBorder="1" applyAlignment="1">
      <alignment horizontal="right"/>
    </xf>
    <xf numFmtId="14" fontId="0" fillId="2" borderId="0" xfId="0" applyNumberFormat="1" applyFill="1" applyBorder="1" applyAlignment="1">
      <alignment horizontal="left"/>
    </xf>
    <xf numFmtId="0" fontId="1" fillId="2" borderId="0" xfId="0" applyFont="1" applyFill="1" applyBorder="1" applyAlignment="1">
      <alignment horizontal="right"/>
    </xf>
    <xf numFmtId="187" fontId="0" fillId="2" borderId="0" xfId="15" applyNumberFormat="1" applyFill="1" applyBorder="1" applyAlignment="1">
      <alignment horizontal="left"/>
    </xf>
    <xf numFmtId="0" fontId="1" fillId="2" borderId="0" xfId="0" applyFont="1" applyFill="1" applyBorder="1" applyAlignment="1" quotePrefix="1">
      <alignment horizontal="right"/>
    </xf>
    <xf numFmtId="185" fontId="0" fillId="2" borderId="0" xfId="15" applyFill="1" applyBorder="1" applyAlignment="1">
      <alignment horizontal="left"/>
    </xf>
    <xf numFmtId="0" fontId="4" fillId="2" borderId="0" xfId="0" applyFont="1" applyFill="1" applyBorder="1" applyAlignment="1">
      <alignment horizontal="right"/>
    </xf>
    <xf numFmtId="0" fontId="0" fillId="2" borderId="0" xfId="0" applyFill="1" applyBorder="1" applyAlignment="1">
      <alignment/>
    </xf>
    <xf numFmtId="0" fontId="1" fillId="2" borderId="0" xfId="0" applyFont="1" applyFill="1" applyBorder="1" applyAlignment="1">
      <alignment horizontal="left"/>
    </xf>
    <xf numFmtId="0" fontId="8" fillId="2" borderId="0" xfId="0" applyFont="1" applyFill="1" applyBorder="1" applyAlignment="1">
      <alignment/>
    </xf>
    <xf numFmtId="15" fontId="0" fillId="2" borderId="0" xfId="0" applyNumberFormat="1" applyFill="1" applyBorder="1" applyAlignment="1" applyProtection="1">
      <alignment horizontal="center"/>
      <protection locked="0"/>
    </xf>
    <xf numFmtId="15" fontId="29" fillId="2" borderId="0" xfId="0" applyNumberFormat="1" applyFont="1" applyFill="1" applyBorder="1" applyAlignment="1" applyProtection="1">
      <alignment horizontal="center"/>
      <protection locked="0"/>
    </xf>
    <xf numFmtId="0" fontId="0" fillId="2" borderId="0" xfId="0" applyFill="1" applyAlignment="1">
      <alignment horizontal="centerContinuous"/>
    </xf>
    <xf numFmtId="0" fontId="0" fillId="2" borderId="0" xfId="0" applyFill="1" applyAlignment="1" quotePrefix="1">
      <alignment horizontal="left"/>
    </xf>
    <xf numFmtId="0" fontId="9" fillId="2" borderId="0" xfId="0" applyFont="1" applyFill="1" applyAlignment="1">
      <alignment/>
    </xf>
    <xf numFmtId="0" fontId="4" fillId="2" borderId="0" xfId="0" applyFont="1" applyFill="1" applyBorder="1" applyAlignment="1">
      <alignment horizontal="centerContinuous"/>
    </xf>
    <xf numFmtId="184" fontId="0" fillId="2" borderId="0" xfId="0" applyNumberFormat="1" applyFill="1" applyBorder="1" applyAlignment="1">
      <alignment/>
    </xf>
    <xf numFmtId="0" fontId="1" fillId="2" borderId="2" xfId="0" applyFont="1" applyFill="1" applyBorder="1" applyAlignment="1">
      <alignment/>
    </xf>
    <xf numFmtId="0" fontId="1" fillId="2" borderId="0" xfId="0" applyFont="1" applyFill="1" applyBorder="1" applyAlignment="1">
      <alignment/>
    </xf>
    <xf numFmtId="0" fontId="1" fillId="2" borderId="3" xfId="0" applyFont="1" applyFill="1" applyBorder="1" applyAlignment="1">
      <alignment/>
    </xf>
    <xf numFmtId="0" fontId="0" fillId="2" borderId="3" xfId="0" applyFill="1" applyBorder="1" applyAlignment="1">
      <alignment/>
    </xf>
    <xf numFmtId="0" fontId="1" fillId="2" borderId="1" xfId="0" applyFont="1" applyFill="1" applyBorder="1" applyAlignment="1">
      <alignment/>
    </xf>
    <xf numFmtId="0" fontId="0" fillId="2" borderId="4" xfId="0" applyFill="1" applyBorder="1" applyAlignment="1">
      <alignment/>
    </xf>
    <xf numFmtId="0" fontId="1" fillId="2" borderId="4" xfId="0" applyFont="1" applyFill="1" applyBorder="1" applyAlignment="1">
      <alignment/>
    </xf>
    <xf numFmtId="0" fontId="23" fillId="2" borderId="0" xfId="0" applyFont="1" applyFill="1" applyAlignment="1">
      <alignment horizontal="right"/>
    </xf>
    <xf numFmtId="0" fontId="4" fillId="2" borderId="0" xfId="0" applyFont="1" applyFill="1" applyBorder="1" applyAlignment="1" applyProtection="1">
      <alignment horizontal="centerContinuous"/>
      <protection/>
    </xf>
    <xf numFmtId="185" fontId="4" fillId="2" borderId="0" xfId="0" applyNumberFormat="1" applyFont="1" applyFill="1" applyBorder="1" applyAlignment="1" applyProtection="1">
      <alignment horizontal="centerContinuous"/>
      <protection/>
    </xf>
    <xf numFmtId="183" fontId="4" fillId="2" borderId="0" xfId="0" applyNumberFormat="1" applyFont="1" applyFill="1" applyBorder="1" applyAlignment="1" applyProtection="1">
      <alignment horizontal="centerContinuous"/>
      <protection/>
    </xf>
    <xf numFmtId="0" fontId="4" fillId="2" borderId="0" xfId="0" applyFont="1" applyFill="1" applyBorder="1" applyAlignment="1" applyProtection="1">
      <alignment horizontal="left"/>
      <protection/>
    </xf>
    <xf numFmtId="185" fontId="0" fillId="2" borderId="0" xfId="0" applyNumberFormat="1" applyFill="1" applyBorder="1" applyAlignment="1" applyProtection="1">
      <alignment horizontal="centerContinuous"/>
      <protection/>
    </xf>
    <xf numFmtId="0" fontId="0" fillId="2" borderId="0" xfId="0" applyFill="1" applyBorder="1" applyAlignment="1" applyProtection="1">
      <alignment horizontal="centerContinuous"/>
      <protection/>
    </xf>
    <xf numFmtId="183" fontId="0" fillId="2" borderId="0" xfId="0" applyNumberFormat="1" applyFill="1" applyBorder="1" applyAlignment="1" applyProtection="1">
      <alignment horizontal="left"/>
      <protection/>
    </xf>
    <xf numFmtId="14" fontId="0" fillId="2" borderId="0" xfId="0" applyNumberFormat="1" applyFill="1" applyBorder="1" applyAlignment="1" applyProtection="1">
      <alignment horizontal="left"/>
      <protection/>
    </xf>
    <xf numFmtId="0" fontId="0" fillId="2" borderId="0" xfId="0" applyFill="1" applyBorder="1" applyAlignment="1" applyProtection="1">
      <alignment/>
      <protection/>
    </xf>
    <xf numFmtId="185" fontId="0" fillId="2" borderId="0" xfId="0" applyNumberFormat="1" applyFill="1" applyBorder="1" applyAlignment="1" applyProtection="1">
      <alignment/>
      <protection/>
    </xf>
    <xf numFmtId="0" fontId="6" fillId="2" borderId="0" xfId="0" applyFont="1" applyFill="1" applyBorder="1" applyAlignment="1" applyProtection="1">
      <alignment horizontal="left" vertical="center" wrapText="1"/>
      <protection/>
    </xf>
    <xf numFmtId="185" fontId="0" fillId="2" borderId="0" xfId="0" applyNumberFormat="1" applyFill="1" applyBorder="1" applyAlignment="1" applyProtection="1">
      <alignment horizontal="left"/>
      <protection/>
    </xf>
    <xf numFmtId="0" fontId="1" fillId="2" borderId="5" xfId="0" applyFont="1" applyFill="1" applyBorder="1" applyAlignment="1" applyProtection="1">
      <alignment horizontal="right" vertical="center" wrapText="1"/>
      <protection/>
    </xf>
    <xf numFmtId="185" fontId="0" fillId="2" borderId="6" xfId="15" applyNumberFormat="1" applyFill="1" applyBorder="1" applyAlignment="1" applyProtection="1">
      <alignment horizontal="left"/>
      <protection/>
    </xf>
    <xf numFmtId="187" fontId="0" fillId="2" borderId="0" xfId="15" applyNumberFormat="1" applyFill="1" applyBorder="1" applyAlignment="1" applyProtection="1">
      <alignment horizontal="left"/>
      <protection/>
    </xf>
    <xf numFmtId="0" fontId="1" fillId="2" borderId="7" xfId="0" applyFont="1" applyFill="1" applyBorder="1" applyAlignment="1" applyProtection="1" quotePrefix="1">
      <alignment horizontal="right" vertical="center" wrapText="1"/>
      <protection/>
    </xf>
    <xf numFmtId="185" fontId="0" fillId="2" borderId="0" xfId="15" applyNumberFormat="1" applyFill="1" applyBorder="1" applyAlignment="1" applyProtection="1">
      <alignment horizontal="left"/>
      <protection/>
    </xf>
    <xf numFmtId="0" fontId="1" fillId="2" borderId="7" xfId="0" applyFont="1" applyFill="1" applyBorder="1" applyAlignment="1" applyProtection="1">
      <alignment horizontal="right" vertical="center" wrapText="1"/>
      <protection/>
    </xf>
    <xf numFmtId="0" fontId="0" fillId="2" borderId="8" xfId="0" applyFill="1" applyBorder="1" applyAlignment="1" applyProtection="1">
      <alignment/>
      <protection/>
    </xf>
    <xf numFmtId="0" fontId="1" fillId="2" borderId="0" xfId="0" applyFont="1" applyFill="1" applyBorder="1" applyAlignment="1" applyProtection="1">
      <alignment horizontal="left" vertical="center" wrapText="1"/>
      <protection/>
    </xf>
    <xf numFmtId="0" fontId="1" fillId="2" borderId="5" xfId="0" applyFont="1" applyFill="1" applyBorder="1" applyAlignment="1" applyProtection="1">
      <alignment horizontal="right"/>
      <protection/>
    </xf>
    <xf numFmtId="185" fontId="0" fillId="2" borderId="9" xfId="15" applyNumberFormat="1" applyFill="1" applyBorder="1" applyAlignment="1" applyProtection="1">
      <alignment horizontal="left"/>
      <protection/>
    </xf>
    <xf numFmtId="185" fontId="0" fillId="2" borderId="10" xfId="15" applyNumberFormat="1" applyFill="1" applyBorder="1" applyAlignment="1" applyProtection="1">
      <alignment horizontal="centerContinuous"/>
      <protection/>
    </xf>
    <xf numFmtId="185" fontId="0" fillId="2" borderId="0" xfId="15" applyFill="1" applyBorder="1" applyAlignment="1" applyProtection="1">
      <alignment horizontal="left"/>
      <protection/>
    </xf>
    <xf numFmtId="0" fontId="1" fillId="2" borderId="7" xfId="0" applyFont="1" applyFill="1" applyBorder="1" applyAlignment="1" applyProtection="1">
      <alignment horizontal="right"/>
      <protection/>
    </xf>
    <xf numFmtId="185" fontId="0" fillId="2" borderId="10" xfId="15" applyNumberFormat="1" applyFill="1" applyBorder="1" applyAlignment="1" applyProtection="1">
      <alignment horizontal="left"/>
      <protection/>
    </xf>
    <xf numFmtId="0" fontId="0" fillId="2" borderId="0" xfId="0" applyFill="1" applyBorder="1" applyAlignment="1" applyProtection="1">
      <alignment horizontal="left"/>
      <protection/>
    </xf>
    <xf numFmtId="0" fontId="6" fillId="2" borderId="0" xfId="0" applyFont="1" applyFill="1" applyBorder="1" applyAlignment="1" applyProtection="1">
      <alignment horizontal="left"/>
      <protection/>
    </xf>
    <xf numFmtId="0" fontId="1" fillId="2" borderId="7" xfId="0" applyFont="1" applyFill="1" applyBorder="1" applyAlignment="1" applyProtection="1" quotePrefix="1">
      <alignment horizontal="right" wrapText="1"/>
      <protection/>
    </xf>
    <xf numFmtId="185" fontId="0" fillId="2" borderId="11" xfId="15" applyNumberFormat="1" applyFill="1" applyBorder="1" applyAlignment="1" applyProtection="1">
      <alignment horizontal="left"/>
      <protection/>
    </xf>
    <xf numFmtId="185" fontId="1" fillId="2" borderId="12" xfId="0" applyNumberFormat="1" applyFont="1" applyFill="1" applyBorder="1" applyAlignment="1" applyProtection="1">
      <alignment horizontal="left"/>
      <protection/>
    </xf>
    <xf numFmtId="187" fontId="0" fillId="2" borderId="0" xfId="15" applyNumberFormat="1" applyFont="1" applyFill="1" applyBorder="1" applyAlignment="1" applyProtection="1">
      <alignment horizontal="left"/>
      <protection/>
    </xf>
    <xf numFmtId="185" fontId="1" fillId="2" borderId="13" xfId="0" applyNumberFormat="1" applyFont="1" applyFill="1" applyBorder="1" applyAlignment="1" applyProtection="1">
      <alignment horizontal="left"/>
      <protection/>
    </xf>
    <xf numFmtId="185" fontId="1" fillId="2" borderId="14" xfId="0" applyNumberFormat="1" applyFont="1" applyFill="1" applyBorder="1" applyAlignment="1" applyProtection="1">
      <alignment horizontal="right"/>
      <protection/>
    </xf>
    <xf numFmtId="185" fontId="0" fillId="2" borderId="11" xfId="0" applyNumberFormat="1" applyFill="1" applyBorder="1" applyAlignment="1" applyProtection="1">
      <alignment/>
      <protection/>
    </xf>
    <xf numFmtId="0" fontId="0" fillId="2" borderId="0" xfId="0" applyFill="1" applyBorder="1" applyAlignment="1" applyProtection="1">
      <alignment horizontal="left" wrapText="1"/>
      <protection/>
    </xf>
    <xf numFmtId="185" fontId="7" fillId="2" borderId="15" xfId="15" applyNumberFormat="1" applyFont="1" applyFill="1" applyBorder="1" applyAlignment="1" applyProtection="1">
      <alignment horizontal="left"/>
      <protection/>
    </xf>
    <xf numFmtId="0" fontId="1" fillId="2" borderId="0" xfId="0" applyFont="1" applyFill="1" applyBorder="1" applyAlignment="1" applyProtection="1">
      <alignment horizontal="right"/>
      <protection/>
    </xf>
    <xf numFmtId="0" fontId="0" fillId="2" borderId="0" xfId="0" applyFill="1" applyAlignment="1" applyProtection="1">
      <alignment horizontal="left"/>
      <protection/>
    </xf>
    <xf numFmtId="185" fontId="0" fillId="2" borderId="0" xfId="0" applyNumberFormat="1" applyFill="1" applyAlignment="1" applyProtection="1">
      <alignment horizontal="left"/>
      <protection/>
    </xf>
    <xf numFmtId="183" fontId="0" fillId="2" borderId="0" xfId="0" applyNumberFormat="1" applyFill="1" applyAlignment="1" applyProtection="1">
      <alignment horizontal="left"/>
      <protection/>
    </xf>
    <xf numFmtId="183" fontId="4" fillId="2" borderId="0" xfId="0" applyNumberFormat="1" applyFont="1" applyFill="1" applyBorder="1" applyAlignment="1" applyProtection="1">
      <alignment horizontal="center"/>
      <protection/>
    </xf>
    <xf numFmtId="0" fontId="1" fillId="2" borderId="7" xfId="0" applyFont="1" applyFill="1" applyBorder="1" applyAlignment="1" applyProtection="1">
      <alignment horizontal="right" vertical="top"/>
      <protection/>
    </xf>
    <xf numFmtId="0" fontId="0" fillId="2" borderId="8" xfId="0" applyFill="1" applyBorder="1" applyAlignment="1" applyProtection="1">
      <alignment horizontal="right"/>
      <protection/>
    </xf>
    <xf numFmtId="0" fontId="1" fillId="2" borderId="6" xfId="0" applyFont="1" applyFill="1" applyBorder="1" applyAlignment="1" applyProtection="1">
      <alignment horizontal="right" vertical="center" wrapText="1"/>
      <protection/>
    </xf>
    <xf numFmtId="0" fontId="1" fillId="2" borderId="0" xfId="0" applyFont="1" applyFill="1" applyBorder="1" applyAlignment="1" applyProtection="1">
      <alignment horizontal="right" vertical="center" wrapText="1"/>
      <protection/>
    </xf>
    <xf numFmtId="0" fontId="0" fillId="2" borderId="16" xfId="0" applyFill="1" applyBorder="1" applyAlignment="1" applyProtection="1">
      <alignment/>
      <protection/>
    </xf>
    <xf numFmtId="0" fontId="1" fillId="2" borderId="6" xfId="0" applyFont="1" applyFill="1" applyBorder="1" applyAlignment="1" applyProtection="1">
      <alignment horizontal="right"/>
      <protection/>
    </xf>
    <xf numFmtId="0" fontId="1" fillId="2" borderId="0" xfId="0" applyFont="1" applyFill="1" applyBorder="1" applyAlignment="1" applyProtection="1">
      <alignment horizontal="right" vertical="top"/>
      <protection/>
    </xf>
    <xf numFmtId="0" fontId="0" fillId="2" borderId="16" xfId="0" applyFill="1" applyBorder="1" applyAlignment="1" applyProtection="1">
      <alignment horizontal="right"/>
      <protection/>
    </xf>
    <xf numFmtId="0" fontId="0" fillId="2" borderId="14" xfId="0" applyFill="1" applyBorder="1" applyAlignment="1" applyProtection="1">
      <alignment horizontal="right"/>
      <protection/>
    </xf>
    <xf numFmtId="0" fontId="6" fillId="2" borderId="15" xfId="0" applyFont="1" applyFill="1" applyBorder="1" applyAlignment="1" applyProtection="1">
      <alignment horizontal="right"/>
      <protection/>
    </xf>
    <xf numFmtId="0" fontId="1" fillId="2" borderId="0" xfId="0" applyFont="1" applyFill="1" applyBorder="1" applyAlignment="1" applyProtection="1">
      <alignment horizontal="right" wrapText="1"/>
      <protection/>
    </xf>
    <xf numFmtId="0" fontId="0" fillId="2" borderId="0" xfId="0" applyFill="1" applyBorder="1" applyAlignment="1" applyProtection="1">
      <alignment horizontal="right"/>
      <protection/>
    </xf>
    <xf numFmtId="0" fontId="1" fillId="2" borderId="11" xfId="0" applyFont="1" applyFill="1" applyBorder="1" applyAlignment="1" applyProtection="1">
      <alignment horizontal="right" wrapText="1"/>
      <protection/>
    </xf>
    <xf numFmtId="0" fontId="4" fillId="2" borderId="17" xfId="0" applyFont="1" applyFill="1" applyBorder="1" applyAlignment="1" applyProtection="1">
      <alignment horizontal="right"/>
      <protection/>
    </xf>
    <xf numFmtId="0" fontId="4" fillId="2" borderId="0" xfId="0" applyFont="1" applyFill="1" applyBorder="1" applyAlignment="1" applyProtection="1">
      <alignment horizontal="right"/>
      <protection/>
    </xf>
    <xf numFmtId="183" fontId="4" fillId="2" borderId="0" xfId="0" applyNumberFormat="1" applyFont="1" applyFill="1" applyBorder="1" applyAlignment="1" applyProtection="1">
      <alignment/>
      <protection/>
    </xf>
    <xf numFmtId="0" fontId="4" fillId="2" borderId="0" xfId="0" applyFont="1" applyFill="1" applyBorder="1" applyAlignment="1" applyProtection="1">
      <alignment/>
      <protection/>
    </xf>
    <xf numFmtId="14" fontId="0" fillId="2" borderId="0" xfId="0" applyNumberFormat="1" applyFill="1" applyBorder="1" applyAlignment="1" applyProtection="1">
      <alignment/>
      <protection/>
    </xf>
    <xf numFmtId="183" fontId="0" fillId="2" borderId="0" xfId="0" applyNumberFormat="1" applyFill="1" applyBorder="1" applyAlignment="1" applyProtection="1">
      <alignment/>
      <protection/>
    </xf>
    <xf numFmtId="187" fontId="0" fillId="2" borderId="6" xfId="15" applyNumberFormat="1" applyFill="1" applyBorder="1" applyAlignment="1" applyProtection="1">
      <alignment/>
      <protection/>
    </xf>
    <xf numFmtId="187" fontId="0" fillId="2" borderId="0" xfId="15" applyNumberFormat="1" applyFill="1" applyBorder="1" applyAlignment="1" applyProtection="1">
      <alignment/>
      <protection/>
    </xf>
    <xf numFmtId="185" fontId="0" fillId="2" borderId="0" xfId="15" applyFill="1" applyBorder="1" applyAlignment="1" applyProtection="1">
      <alignment/>
      <protection/>
    </xf>
    <xf numFmtId="0" fontId="1" fillId="2" borderId="0" xfId="0" applyFont="1" applyFill="1" applyBorder="1" applyAlignment="1" applyProtection="1">
      <alignment horizontal="left"/>
      <protection/>
    </xf>
    <xf numFmtId="183" fontId="0" fillId="2" borderId="0" xfId="0" applyNumberFormat="1" applyFill="1" applyBorder="1" applyAlignment="1" applyProtection="1">
      <alignment/>
      <protection/>
    </xf>
    <xf numFmtId="0" fontId="1" fillId="2" borderId="8" xfId="0" applyFont="1" applyFill="1" applyBorder="1" applyAlignment="1" applyProtection="1" quotePrefix="1">
      <alignment horizontal="right" wrapText="1"/>
      <protection/>
    </xf>
    <xf numFmtId="187" fontId="0" fillId="2" borderId="16" xfId="15" applyNumberFormat="1" applyFill="1" applyBorder="1" applyAlignment="1" applyProtection="1">
      <alignment/>
      <protection/>
    </xf>
    <xf numFmtId="0" fontId="0" fillId="2" borderId="17" xfId="0" applyFill="1" applyBorder="1" applyAlignment="1" applyProtection="1">
      <alignment/>
      <protection/>
    </xf>
    <xf numFmtId="0" fontId="1" fillId="2" borderId="0" xfId="0" applyFont="1" applyFill="1" applyBorder="1" applyAlignment="1" applyProtection="1">
      <alignment/>
      <protection/>
    </xf>
    <xf numFmtId="183" fontId="0" fillId="2" borderId="0" xfId="15" applyNumberFormat="1" applyFill="1" applyBorder="1" applyAlignment="1" applyProtection="1">
      <alignment/>
      <protection/>
    </xf>
    <xf numFmtId="0" fontId="0" fillId="2" borderId="0" xfId="0" applyFill="1" applyBorder="1" applyAlignment="1" applyProtection="1" quotePrefix="1">
      <alignment horizontal="left"/>
      <protection/>
    </xf>
    <xf numFmtId="0" fontId="0" fillId="2" borderId="0" xfId="0" applyFont="1" applyFill="1" applyBorder="1" applyAlignment="1" applyProtection="1" quotePrefix="1">
      <alignment horizontal="left"/>
      <protection/>
    </xf>
    <xf numFmtId="0" fontId="0" fillId="0" borderId="4" xfId="0" applyBorder="1" applyAlignment="1">
      <alignment/>
    </xf>
    <xf numFmtId="0" fontId="0" fillId="2" borderId="6" xfId="0" applyFill="1" applyBorder="1" applyAlignment="1" applyProtection="1">
      <alignment/>
      <protection/>
    </xf>
    <xf numFmtId="0" fontId="4" fillId="2" borderId="15" xfId="0" applyFont="1" applyFill="1" applyBorder="1" applyAlignment="1" applyProtection="1">
      <alignment horizontal="right"/>
      <protection/>
    </xf>
    <xf numFmtId="0" fontId="4" fillId="2" borderId="0" xfId="0" applyFont="1" applyFill="1" applyAlignment="1">
      <alignment horizontal="center"/>
    </xf>
    <xf numFmtId="0" fontId="1" fillId="2" borderId="5" xfId="0" applyFont="1" applyFill="1" applyBorder="1" applyAlignment="1" quotePrefix="1">
      <alignment horizontal="left"/>
    </xf>
    <xf numFmtId="0" fontId="1" fillId="2" borderId="7" xfId="0" applyFont="1" applyFill="1" applyBorder="1" applyAlignment="1" quotePrefix="1">
      <alignment horizontal="left"/>
    </xf>
    <xf numFmtId="0" fontId="1" fillId="2" borderId="8" xfId="0" applyFont="1" applyFill="1" applyBorder="1" applyAlignment="1" quotePrefix="1">
      <alignment horizontal="left"/>
    </xf>
    <xf numFmtId="182" fontId="0" fillId="2" borderId="0" xfId="0" applyNumberFormat="1" applyFill="1" applyAlignment="1">
      <alignment/>
    </xf>
    <xf numFmtId="0" fontId="0" fillId="3" borderId="18"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3" borderId="20" xfId="0" applyFill="1" applyBorder="1" applyAlignment="1" applyProtection="1">
      <alignment horizontal="center"/>
      <protection locked="0"/>
    </xf>
    <xf numFmtId="0" fontId="1" fillId="2" borderId="0" xfId="0" applyFont="1" applyFill="1" applyAlignment="1" quotePrefix="1">
      <alignment horizontal="left"/>
    </xf>
    <xf numFmtId="182" fontId="19" fillId="2" borderId="0" xfId="0" applyNumberFormat="1" applyFont="1" applyFill="1" applyBorder="1" applyAlignment="1" applyProtection="1">
      <alignment/>
      <protection locked="0"/>
    </xf>
    <xf numFmtId="0" fontId="0" fillId="2" borderId="0" xfId="0" applyFill="1" applyBorder="1" applyAlignment="1" applyProtection="1">
      <alignment/>
      <protection/>
    </xf>
    <xf numFmtId="183" fontId="0" fillId="2" borderId="0" xfId="0" applyNumberFormat="1" applyFill="1" applyBorder="1" applyAlignment="1" applyProtection="1" quotePrefix="1">
      <alignment horizontal="left"/>
      <protection/>
    </xf>
    <xf numFmtId="183" fontId="1" fillId="2" borderId="21" xfId="0" applyNumberFormat="1" applyFont="1" applyFill="1" applyBorder="1" applyAlignment="1" applyProtection="1">
      <alignment horizontal="centerContinuous" vertical="center" wrapText="1"/>
      <protection/>
    </xf>
    <xf numFmtId="0" fontId="0" fillId="2" borderId="0" xfId="0" applyFill="1" applyBorder="1" applyAlignment="1">
      <alignment horizontal="centerContinuous" vertical="center" wrapText="1"/>
    </xf>
    <xf numFmtId="183" fontId="1" fillId="2" borderId="0" xfId="0" applyNumberFormat="1" applyFont="1" applyFill="1" applyBorder="1" applyAlignment="1" applyProtection="1">
      <alignment horizontal="centerContinuous"/>
      <protection/>
    </xf>
    <xf numFmtId="183" fontId="0" fillId="2" borderId="3" xfId="0" applyNumberFormat="1" applyFill="1" applyBorder="1" applyAlignment="1" applyProtection="1">
      <alignment/>
      <protection locked="0"/>
    </xf>
    <xf numFmtId="0" fontId="1" fillId="2" borderId="7" xfId="0" applyFont="1" applyFill="1" applyBorder="1" applyAlignment="1" applyProtection="1">
      <alignment horizontal="left" vertical="center" wrapText="1"/>
      <protection/>
    </xf>
    <xf numFmtId="183" fontId="0" fillId="2" borderId="0" xfId="0" applyNumberFormat="1" applyFill="1" applyBorder="1" applyAlignment="1" applyProtection="1">
      <alignment horizontal="center" wrapText="1"/>
      <protection/>
    </xf>
    <xf numFmtId="0" fontId="0" fillId="2" borderId="1" xfId="0" applyFill="1" applyBorder="1" applyAlignment="1">
      <alignment/>
    </xf>
    <xf numFmtId="9" fontId="0" fillId="2" borderId="22" xfId="0" applyNumberFormat="1" applyFill="1" applyBorder="1" applyAlignment="1" applyProtection="1">
      <alignment horizontal="center"/>
      <protection/>
    </xf>
    <xf numFmtId="0" fontId="0" fillId="2" borderId="0" xfId="0" applyFont="1" applyFill="1" applyBorder="1" applyAlignment="1" applyProtection="1">
      <alignment horizontal="left"/>
      <protection/>
    </xf>
    <xf numFmtId="9" fontId="0" fillId="2" borderId="1" xfId="0" applyNumberFormat="1" applyFill="1" applyBorder="1" applyAlignment="1" applyProtection="1">
      <alignment horizontal="center"/>
      <protection/>
    </xf>
    <xf numFmtId="0" fontId="1" fillId="2" borderId="23" xfId="0" applyFont="1" applyFill="1" applyBorder="1" applyAlignment="1" applyProtection="1">
      <alignment horizontal="left"/>
      <protection/>
    </xf>
    <xf numFmtId="0" fontId="1" fillId="2" borderId="24" xfId="0" applyFont="1" applyFill="1" applyBorder="1" applyAlignment="1" applyProtection="1">
      <alignment horizontal="right" wrapText="1"/>
      <protection/>
    </xf>
    <xf numFmtId="0" fontId="1" fillId="2" borderId="8" xfId="0" applyFont="1" applyFill="1" applyBorder="1" applyAlignment="1" applyProtection="1">
      <alignment horizontal="right"/>
      <protection/>
    </xf>
    <xf numFmtId="183" fontId="0" fillId="2" borderId="22" xfId="0" applyNumberFormat="1" applyFill="1" applyBorder="1" applyAlignment="1" applyProtection="1">
      <alignment/>
      <protection locked="0"/>
    </xf>
    <xf numFmtId="0" fontId="1" fillId="2" borderId="5" xfId="0" applyFont="1" applyFill="1" applyBorder="1" applyAlignment="1" applyProtection="1">
      <alignment horizontal="center" wrapText="1"/>
      <protection/>
    </xf>
    <xf numFmtId="0" fontId="0" fillId="2" borderId="25" xfId="0" applyFill="1" applyBorder="1" applyAlignment="1" applyProtection="1">
      <alignment/>
      <protection/>
    </xf>
    <xf numFmtId="0" fontId="1" fillId="2" borderId="26" xfId="0" applyFont="1" applyFill="1" applyBorder="1" applyAlignment="1" applyProtection="1">
      <alignment horizontal="right"/>
      <protection/>
    </xf>
    <xf numFmtId="183" fontId="1" fillId="2" borderId="27" xfId="0" applyNumberFormat="1" applyFont="1" applyFill="1" applyBorder="1" applyAlignment="1" applyProtection="1">
      <alignment horizontal="center" wrapText="1"/>
      <protection/>
    </xf>
    <xf numFmtId="0" fontId="0" fillId="0" borderId="18" xfId="0" applyBorder="1" applyAlignment="1">
      <alignment/>
    </xf>
    <xf numFmtId="0" fontId="1" fillId="2" borderId="28" xfId="0" applyFont="1" applyFill="1" applyBorder="1" applyAlignment="1" applyProtection="1" quotePrefix="1">
      <alignment horizontal="center" wrapText="1"/>
      <protection/>
    </xf>
    <xf numFmtId="0" fontId="1" fillId="2" borderId="8" xfId="0" applyFont="1" applyFill="1" applyBorder="1" applyAlignment="1" applyProtection="1">
      <alignment horizontal="right" vertical="center" wrapText="1"/>
      <protection/>
    </xf>
    <xf numFmtId="0" fontId="0" fillId="0" borderId="6" xfId="0" applyBorder="1" applyAlignment="1">
      <alignment/>
    </xf>
    <xf numFmtId="0" fontId="1" fillId="2" borderId="29" xfId="0" applyFont="1" applyFill="1" applyBorder="1" applyAlignment="1" applyProtection="1" quotePrefix="1">
      <alignment horizontal="center" wrapText="1"/>
      <protection/>
    </xf>
    <xf numFmtId="0" fontId="1" fillId="2" borderId="1" xfId="0" applyFont="1" applyFill="1" applyBorder="1" applyAlignment="1" applyProtection="1" quotePrefix="1">
      <alignment horizontal="center" wrapText="1"/>
      <protection/>
    </xf>
    <xf numFmtId="0" fontId="0" fillId="0" borderId="22" xfId="0" applyBorder="1" applyAlignment="1">
      <alignment/>
    </xf>
    <xf numFmtId="0" fontId="7" fillId="2" borderId="0" xfId="0" applyFont="1" applyFill="1" applyBorder="1" applyAlignment="1" applyProtection="1">
      <alignment/>
      <protection/>
    </xf>
    <xf numFmtId="183" fontId="7" fillId="2" borderId="0" xfId="0" applyNumberFormat="1" applyFont="1" applyFill="1" applyBorder="1" applyAlignment="1" applyProtection="1">
      <alignment/>
      <protection/>
    </xf>
    <xf numFmtId="0" fontId="1" fillId="2" borderId="10" xfId="0" applyFont="1" applyFill="1" applyBorder="1" applyAlignment="1" applyProtection="1">
      <alignment horizontal="left" wrapText="1"/>
      <protection/>
    </xf>
    <xf numFmtId="9" fontId="0" fillId="2" borderId="30" xfId="0" applyNumberFormat="1" applyFill="1" applyBorder="1" applyAlignment="1" applyProtection="1">
      <alignment horizontal="center"/>
      <protection/>
    </xf>
    <xf numFmtId="9" fontId="0" fillId="2" borderId="1" xfId="15" applyNumberFormat="1" applyFill="1" applyBorder="1" applyAlignment="1" applyProtection="1">
      <alignment horizontal="center"/>
      <protection/>
    </xf>
    <xf numFmtId="0" fontId="1" fillId="2" borderId="31" xfId="0" applyFont="1" applyFill="1" applyBorder="1" applyAlignment="1" applyProtection="1" quotePrefix="1">
      <alignment horizontal="center"/>
      <protection/>
    </xf>
    <xf numFmtId="183" fontId="1" fillId="2" borderId="31" xfId="0" applyNumberFormat="1" applyFont="1" applyFill="1" applyBorder="1" applyAlignment="1" applyProtection="1">
      <alignment horizontal="center"/>
      <protection/>
    </xf>
    <xf numFmtId="183" fontId="1" fillId="2" borderId="32" xfId="0" applyNumberFormat="1" applyFont="1" applyFill="1" applyBorder="1" applyAlignment="1" applyProtection="1">
      <alignment horizontal="center" wrapText="1"/>
      <protection/>
    </xf>
    <xf numFmtId="0" fontId="0" fillId="2" borderId="2" xfId="0" applyFill="1" applyBorder="1" applyAlignment="1" applyProtection="1">
      <alignment horizontal="center"/>
      <protection/>
    </xf>
    <xf numFmtId="9" fontId="0" fillId="2" borderId="33" xfId="15" applyNumberFormat="1" applyFill="1" applyBorder="1" applyAlignment="1" applyProtection="1">
      <alignment horizontal="center"/>
      <protection/>
    </xf>
    <xf numFmtId="9" fontId="0" fillId="2" borderId="4" xfId="15" applyNumberFormat="1" applyFill="1" applyBorder="1" applyAlignment="1" applyProtection="1">
      <alignment horizontal="center"/>
      <protection/>
    </xf>
    <xf numFmtId="9" fontId="0" fillId="2" borderId="2" xfId="0" applyNumberFormat="1" applyFill="1" applyBorder="1" applyAlignment="1" applyProtection="1">
      <alignment horizontal="center"/>
      <protection/>
    </xf>
    <xf numFmtId="0" fontId="0" fillId="2" borderId="1" xfId="0" applyFill="1" applyBorder="1" applyAlignment="1" applyProtection="1">
      <alignment horizontal="center"/>
      <protection/>
    </xf>
    <xf numFmtId="9" fontId="0" fillId="2" borderId="0" xfId="15" applyNumberFormat="1" applyFill="1" applyBorder="1" applyAlignment="1" applyProtection="1">
      <alignment horizontal="center"/>
      <protection/>
    </xf>
    <xf numFmtId="9" fontId="0" fillId="2" borderId="2" xfId="15" applyNumberFormat="1" applyFont="1" applyFill="1" applyBorder="1" applyAlignment="1" applyProtection="1">
      <alignment horizontal="center"/>
      <protection/>
    </xf>
    <xf numFmtId="0" fontId="4" fillId="2" borderId="17" xfId="0" applyFont="1" applyFill="1" applyBorder="1" applyAlignment="1" applyProtection="1">
      <alignment horizontal="left"/>
      <protection/>
    </xf>
    <xf numFmtId="0" fontId="0" fillId="0" borderId="15" xfId="0" applyBorder="1" applyAlignment="1">
      <alignment/>
    </xf>
    <xf numFmtId="0" fontId="9" fillId="0" borderId="0" xfId="0" applyFont="1" applyBorder="1" applyAlignment="1">
      <alignment/>
    </xf>
    <xf numFmtId="0" fontId="9" fillId="0" borderId="34" xfId="0" applyFont="1" applyBorder="1" applyAlignment="1">
      <alignment/>
    </xf>
    <xf numFmtId="0" fontId="9" fillId="0" borderId="16" xfId="0" applyFont="1" applyBorder="1" applyAlignment="1">
      <alignment/>
    </xf>
    <xf numFmtId="0" fontId="34" fillId="2" borderId="0" xfId="0" applyFont="1" applyFill="1" applyBorder="1" applyAlignment="1" applyProtection="1" quotePrefix="1">
      <alignment horizontal="left"/>
      <protection/>
    </xf>
    <xf numFmtId="0" fontId="6" fillId="2" borderId="16" xfId="0" applyFont="1" applyFill="1" applyBorder="1" applyAlignment="1" applyProtection="1">
      <alignment horizontal="left"/>
      <protection/>
    </xf>
    <xf numFmtId="0" fontId="1" fillId="2" borderId="35" xfId="0" applyFont="1" applyFill="1" applyBorder="1" applyAlignment="1" applyProtection="1">
      <alignment horizontal="right"/>
      <protection/>
    </xf>
    <xf numFmtId="0" fontId="1" fillId="2" borderId="24" xfId="0" applyFont="1" applyFill="1" applyBorder="1" applyAlignment="1" applyProtection="1">
      <alignment horizontal="right"/>
      <protection/>
    </xf>
    <xf numFmtId="0" fontId="1" fillId="2" borderId="24" xfId="0" applyFont="1" applyFill="1" applyBorder="1" applyAlignment="1" applyProtection="1">
      <alignment horizontal="right"/>
      <protection/>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quotePrefix="1">
      <alignment horizontal="center" vertical="center" wrapText="1"/>
    </xf>
    <xf numFmtId="0" fontId="13" fillId="2" borderId="1" xfId="0" applyFont="1" applyFill="1" applyBorder="1" applyAlignment="1">
      <alignment horizontal="center" wrapText="1"/>
    </xf>
    <xf numFmtId="0" fontId="11" fillId="2" borderId="1" xfId="0" applyFont="1" applyFill="1" applyBorder="1" applyAlignment="1">
      <alignment horizontal="center" vertical="center" wrapText="1"/>
    </xf>
    <xf numFmtId="0" fontId="21" fillId="2" borderId="0" xfId="0" applyFont="1" applyFill="1" applyAlignment="1">
      <alignment horizontal="center"/>
    </xf>
    <xf numFmtId="0" fontId="0" fillId="2" borderId="1" xfId="0" applyFill="1" applyBorder="1" applyAlignment="1">
      <alignment horizontal="center"/>
    </xf>
    <xf numFmtId="185" fontId="0" fillId="2" borderId="1" xfId="15" applyFill="1" applyBorder="1" applyAlignment="1">
      <alignment/>
    </xf>
    <xf numFmtId="9" fontId="0" fillId="2" borderId="1" xfId="0" applyNumberFormat="1" applyFill="1" applyBorder="1" applyAlignment="1">
      <alignment horizontal="center"/>
    </xf>
    <xf numFmtId="0" fontId="0" fillId="2" borderId="0" xfId="0" applyFill="1" applyAlignment="1">
      <alignment horizontal="center"/>
    </xf>
    <xf numFmtId="197" fontId="0" fillId="2" borderId="0" xfId="0" applyNumberFormat="1" applyFill="1" applyAlignment="1">
      <alignment/>
    </xf>
    <xf numFmtId="0" fontId="0" fillId="2" borderId="36" xfId="0" applyFill="1" applyBorder="1" applyAlignment="1">
      <alignment horizontal="center"/>
    </xf>
    <xf numFmtId="190" fontId="0" fillId="2" borderId="1" xfId="0" applyNumberFormat="1" applyFill="1" applyBorder="1" applyAlignment="1">
      <alignment/>
    </xf>
    <xf numFmtId="1" fontId="0" fillId="2" borderId="1" xfId="0" applyNumberFormat="1" applyFill="1" applyBorder="1" applyAlignment="1">
      <alignment/>
    </xf>
    <xf numFmtId="197" fontId="0" fillId="2" borderId="1" xfId="0" applyNumberFormat="1" applyFill="1" applyBorder="1" applyAlignment="1">
      <alignment/>
    </xf>
    <xf numFmtId="197" fontId="11" fillId="2" borderId="1" xfId="0" applyNumberFormat="1" applyFont="1" applyFill="1" applyBorder="1" applyAlignment="1">
      <alignment/>
    </xf>
    <xf numFmtId="14" fontId="0" fillId="2" borderId="1" xfId="0" applyNumberFormat="1" applyFill="1" applyBorder="1" applyAlignment="1">
      <alignment/>
    </xf>
    <xf numFmtId="10" fontId="0" fillId="2" borderId="1" xfId="0" applyNumberFormat="1" applyFill="1" applyBorder="1" applyAlignment="1">
      <alignment horizontal="center"/>
    </xf>
    <xf numFmtId="197" fontId="9" fillId="2" borderId="0" xfId="0" applyNumberFormat="1" applyFont="1" applyFill="1" applyAlignment="1">
      <alignment/>
    </xf>
    <xf numFmtId="0" fontId="0" fillId="2" borderId="2" xfId="0" applyFill="1" applyBorder="1" applyAlignment="1">
      <alignment horizontal="center"/>
    </xf>
    <xf numFmtId="14" fontId="0" fillId="2" borderId="2" xfId="0" applyNumberFormat="1" applyFill="1" applyBorder="1" applyAlignment="1">
      <alignment/>
    </xf>
    <xf numFmtId="10" fontId="0" fillId="2" borderId="2" xfId="0" applyNumberFormat="1" applyFill="1" applyBorder="1" applyAlignment="1">
      <alignment horizontal="center"/>
    </xf>
    <xf numFmtId="190" fontId="0" fillId="2" borderId="2" xfId="0" applyNumberFormat="1" applyFill="1" applyBorder="1" applyAlignment="1">
      <alignment/>
    </xf>
    <xf numFmtId="0" fontId="0" fillId="2" borderId="37" xfId="0" applyFill="1" applyBorder="1" applyAlignment="1">
      <alignment horizontal="center"/>
    </xf>
    <xf numFmtId="190" fontId="0" fillId="2" borderId="38" xfId="0" applyNumberFormat="1" applyFill="1" applyBorder="1" applyAlignment="1">
      <alignment/>
    </xf>
    <xf numFmtId="0" fontId="0" fillId="2" borderId="36" xfId="0" applyFill="1" applyBorder="1" applyAlignment="1">
      <alignment/>
    </xf>
    <xf numFmtId="0" fontId="0" fillId="2" borderId="1" xfId="0" applyFill="1" applyBorder="1" applyAlignment="1" quotePrefix="1">
      <alignment horizontal="left"/>
    </xf>
    <xf numFmtId="0" fontId="0" fillId="2" borderId="34" xfId="0" applyFill="1" applyBorder="1" applyAlignment="1">
      <alignment/>
    </xf>
    <xf numFmtId="185" fontId="0" fillId="3" borderId="2" xfId="15" applyFill="1" applyBorder="1" applyAlignment="1" applyProtection="1">
      <alignment/>
      <protection locked="0"/>
    </xf>
    <xf numFmtId="0" fontId="0" fillId="3" borderId="2" xfId="0" applyFill="1" applyBorder="1" applyAlignment="1" applyProtection="1">
      <alignment horizontal="center"/>
      <protection locked="0"/>
    </xf>
    <xf numFmtId="0" fontId="0" fillId="3" borderId="38" xfId="0" applyFill="1" applyBorder="1" applyAlignment="1" applyProtection="1">
      <alignment horizontal="center"/>
      <protection locked="0"/>
    </xf>
    <xf numFmtId="185" fontId="0" fillId="3" borderId="38" xfId="15" applyFill="1" applyBorder="1" applyAlignment="1" applyProtection="1">
      <alignment/>
      <protection locked="0"/>
    </xf>
    <xf numFmtId="10" fontId="0" fillId="3" borderId="2" xfId="0" applyNumberFormat="1" applyFill="1" applyBorder="1" applyAlignment="1" applyProtection="1">
      <alignment horizontal="center"/>
      <protection locked="0"/>
    </xf>
    <xf numFmtId="1" fontId="0" fillId="3" borderId="2" xfId="0" applyNumberFormat="1" applyFill="1" applyBorder="1" applyAlignment="1" applyProtection="1">
      <alignment horizontal="center"/>
      <protection locked="0"/>
    </xf>
    <xf numFmtId="10" fontId="0" fillId="3" borderId="38" xfId="0" applyNumberFormat="1" applyFill="1" applyBorder="1" applyAlignment="1" applyProtection="1">
      <alignment horizontal="center"/>
      <protection locked="0"/>
    </xf>
    <xf numFmtId="1" fontId="0" fillId="3" borderId="38" xfId="0" applyNumberFormat="1" applyFill="1" applyBorder="1" applyAlignment="1" applyProtection="1">
      <alignment horizontal="center"/>
      <protection locked="0"/>
    </xf>
    <xf numFmtId="0" fontId="1" fillId="2" borderId="0" xfId="0" applyFont="1" applyFill="1" applyAlignment="1">
      <alignment horizontal="centerContinuous"/>
    </xf>
    <xf numFmtId="0" fontId="1" fillId="2" borderId="1" xfId="0" applyFont="1" applyFill="1" applyBorder="1" applyAlignment="1">
      <alignment horizontal="centerContinuous" wrapText="1"/>
    </xf>
    <xf numFmtId="0" fontId="0" fillId="2" borderId="1" xfId="0" applyFill="1" applyBorder="1" applyAlignment="1">
      <alignment horizontal="centerContinuous"/>
    </xf>
    <xf numFmtId="0" fontId="0" fillId="2" borderId="1" xfId="0" applyFont="1" applyFill="1" applyBorder="1" applyAlignment="1" quotePrefix="1">
      <alignment horizontal="center" wrapText="1"/>
    </xf>
    <xf numFmtId="0" fontId="0" fillId="2" borderId="1" xfId="0" applyFont="1" applyFill="1" applyBorder="1" applyAlignment="1" quotePrefix="1">
      <alignment horizontal="right"/>
    </xf>
    <xf numFmtId="0" fontId="0" fillId="2" borderId="1" xfId="0" applyFont="1" applyFill="1" applyBorder="1" applyAlignment="1">
      <alignment horizontal="right"/>
    </xf>
    <xf numFmtId="9" fontId="0" fillId="2" borderId="1" xfId="19" applyFont="1" applyFill="1" applyBorder="1" applyAlignment="1" quotePrefix="1">
      <alignment wrapText="1"/>
    </xf>
    <xf numFmtId="9" fontId="0" fillId="2" borderId="1" xfId="19" applyFill="1" applyBorder="1" applyAlignment="1">
      <alignment/>
    </xf>
    <xf numFmtId="0" fontId="0" fillId="2" borderId="0" xfId="0" applyFont="1" applyFill="1" applyBorder="1" applyAlignment="1" applyProtection="1">
      <alignment horizontal="right"/>
      <protection locked="0"/>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9" fontId="0" fillId="2" borderId="1" xfId="19" applyFill="1" applyBorder="1" applyAlignment="1">
      <alignment horizontal="center"/>
    </xf>
    <xf numFmtId="0" fontId="4" fillId="0" borderId="0" xfId="0" applyFont="1" applyAlignment="1">
      <alignment/>
    </xf>
    <xf numFmtId="0" fontId="16" fillId="2" borderId="0" xfId="0" applyFont="1" applyFill="1" applyBorder="1" applyAlignment="1">
      <alignment/>
    </xf>
    <xf numFmtId="187" fontId="0" fillId="2" borderId="0" xfId="0" applyNumberFormat="1" applyFill="1" applyBorder="1" applyAlignment="1">
      <alignment/>
    </xf>
    <xf numFmtId="0" fontId="16" fillId="2" borderId="39" xfId="0" applyFont="1" applyFill="1" applyBorder="1" applyAlignment="1">
      <alignment/>
    </xf>
    <xf numFmtId="204" fontId="0" fillId="2" borderId="1" xfId="0" applyNumberFormat="1" applyFill="1" applyBorder="1" applyAlignment="1">
      <alignment/>
    </xf>
    <xf numFmtId="0" fontId="18" fillId="2" borderId="1" xfId="0" applyFont="1" applyFill="1" applyBorder="1" applyAlignment="1" quotePrefix="1">
      <alignment horizontal="center" vertical="center"/>
    </xf>
    <xf numFmtId="0" fontId="18" fillId="2" borderId="1" xfId="0" applyFont="1" applyFill="1" applyBorder="1" applyAlignment="1" quotePrefix="1">
      <alignment horizontal="center" wrapText="1"/>
    </xf>
    <xf numFmtId="204" fontId="0" fillId="2" borderId="2" xfId="19" applyNumberFormat="1" applyFont="1" applyFill="1" applyBorder="1" applyAlignment="1">
      <alignment horizontal="center" wrapText="1"/>
    </xf>
    <xf numFmtId="204" fontId="0" fillId="2" borderId="1" xfId="0" applyNumberFormat="1" applyFont="1" applyFill="1" applyBorder="1" applyAlignment="1">
      <alignment horizontal="center" wrapText="1"/>
    </xf>
    <xf numFmtId="9" fontId="0" fillId="2" borderId="1" xfId="0" applyNumberFormat="1" applyFill="1" applyBorder="1" applyAlignment="1">
      <alignment/>
    </xf>
    <xf numFmtId="0" fontId="0" fillId="2" borderId="0" xfId="0" applyFont="1" applyFill="1" applyBorder="1" applyAlignment="1">
      <alignment/>
    </xf>
    <xf numFmtId="0" fontId="0" fillId="2" borderId="0" xfId="0" applyFont="1" applyFill="1" applyBorder="1" applyAlignment="1">
      <alignment horizontal="right"/>
    </xf>
    <xf numFmtId="0" fontId="16" fillId="2" borderId="0" xfId="0" applyFont="1" applyFill="1" applyBorder="1" applyAlignment="1" quotePrefix="1">
      <alignment horizontal="left"/>
    </xf>
    <xf numFmtId="0" fontId="0" fillId="0" borderId="0" xfId="0" applyBorder="1" applyAlignment="1">
      <alignment horizontal="centerContinuous"/>
    </xf>
    <xf numFmtId="172" fontId="0" fillId="2" borderId="0" xfId="0" applyNumberFormat="1" applyFill="1" applyBorder="1" applyAlignment="1">
      <alignment/>
    </xf>
    <xf numFmtId="0" fontId="0" fillId="0" borderId="0" xfId="0" applyBorder="1" applyAlignment="1">
      <alignment/>
    </xf>
    <xf numFmtId="0" fontId="1" fillId="2" borderId="0" xfId="0" applyFont="1" applyFill="1" applyBorder="1" applyAlignment="1">
      <alignment horizontal="centerContinuous"/>
    </xf>
    <xf numFmtId="187" fontId="0" fillId="2" borderId="0" xfId="15" applyNumberFormat="1" applyFill="1" applyBorder="1" applyAlignment="1">
      <alignment/>
    </xf>
    <xf numFmtId="0" fontId="1" fillId="2" borderId="0" xfId="0" applyFont="1" applyFill="1" applyBorder="1" applyAlignment="1">
      <alignment/>
    </xf>
    <xf numFmtId="9" fontId="0" fillId="2" borderId="0" xfId="0" applyNumberFormat="1" applyFill="1" applyBorder="1" applyAlignment="1">
      <alignment/>
    </xf>
    <xf numFmtId="0" fontId="0" fillId="2" borderId="0" xfId="0" applyFont="1" applyFill="1" applyBorder="1" applyAlignment="1">
      <alignment horizontal="centerContinuous"/>
    </xf>
    <xf numFmtId="172" fontId="0" fillId="2" borderId="1" xfId="0" applyNumberFormat="1" applyFill="1" applyBorder="1" applyAlignment="1">
      <alignment horizontal="center"/>
    </xf>
    <xf numFmtId="0" fontId="0" fillId="2" borderId="13" xfId="0" applyFont="1" applyFill="1" applyBorder="1" applyAlignment="1">
      <alignment horizontal="centerContinuous"/>
    </xf>
    <xf numFmtId="0" fontId="0" fillId="0" borderId="39" xfId="0" applyBorder="1" applyAlignment="1">
      <alignment horizontal="centerContinuous"/>
    </xf>
    <xf numFmtId="0" fontId="9" fillId="2" borderId="1" xfId="0" applyFont="1" applyFill="1" applyBorder="1" applyAlignment="1">
      <alignment/>
    </xf>
    <xf numFmtId="0" fontId="4" fillId="0" borderId="0" xfId="0" applyFont="1" applyBorder="1" applyAlignment="1">
      <alignment/>
    </xf>
    <xf numFmtId="0" fontId="0" fillId="2" borderId="36" xfId="0" applyFill="1" applyBorder="1" applyAlignment="1">
      <alignment/>
    </xf>
    <xf numFmtId="0" fontId="0" fillId="2" borderId="36" xfId="0" applyFill="1" applyBorder="1" applyAlignment="1">
      <alignment wrapText="1"/>
    </xf>
    <xf numFmtId="0" fontId="25" fillId="2" borderId="1" xfId="0" applyFont="1" applyFill="1" applyBorder="1" applyAlignment="1">
      <alignment horizontal="right" wrapText="1"/>
    </xf>
    <xf numFmtId="0" fontId="15" fillId="2" borderId="0" xfId="0" applyFont="1" applyFill="1" applyBorder="1" applyAlignment="1">
      <alignment/>
    </xf>
    <xf numFmtId="0" fontId="4" fillId="2" borderId="0" xfId="0" applyFont="1" applyFill="1" applyBorder="1" applyAlignment="1">
      <alignment horizontal="center"/>
    </xf>
    <xf numFmtId="187" fontId="0" fillId="2" borderId="0" xfId="0" applyNumberFormat="1" applyFill="1" applyBorder="1" applyAlignment="1">
      <alignment/>
    </xf>
    <xf numFmtId="0" fontId="15" fillId="2" borderId="0" xfId="0" applyFont="1" applyFill="1" applyBorder="1" applyAlignment="1">
      <alignment/>
    </xf>
    <xf numFmtId="204" fontId="0" fillId="2" borderId="0" xfId="0" applyNumberFormat="1" applyFill="1" applyBorder="1" applyAlignment="1">
      <alignment/>
    </xf>
    <xf numFmtId="204" fontId="0" fillId="2" borderId="0" xfId="0" applyNumberFormat="1" applyFont="1" applyFill="1" applyBorder="1" applyAlignment="1">
      <alignment horizontal="right"/>
    </xf>
    <xf numFmtId="0" fontId="0" fillId="0" borderId="30" xfId="0" applyBorder="1" applyAlignment="1">
      <alignment horizontal="centerContinuous"/>
    </xf>
    <xf numFmtId="0" fontId="0" fillId="0" borderId="40" xfId="0" applyBorder="1" applyAlignment="1">
      <alignment horizontal="centerContinuous"/>
    </xf>
    <xf numFmtId="0" fontId="0" fillId="2" borderId="30" xfId="0" applyFont="1" applyFill="1" applyBorder="1" applyAlignment="1">
      <alignment horizontal="centerContinuous"/>
    </xf>
    <xf numFmtId="0" fontId="0" fillId="0" borderId="40" xfId="0" applyFont="1" applyBorder="1" applyAlignment="1">
      <alignment horizontal="centerContinuous"/>
    </xf>
    <xf numFmtId="9" fontId="0" fillId="2" borderId="0" xfId="19" applyFont="1" applyFill="1" applyBorder="1" applyAlignment="1" quotePrefix="1">
      <alignment wrapText="1"/>
    </xf>
    <xf numFmtId="0" fontId="0" fillId="2" borderId="0" xfId="0" applyFont="1" applyFill="1" applyBorder="1" applyAlignment="1" quotePrefix="1">
      <alignment horizontal="center" wrapText="1"/>
    </xf>
    <xf numFmtId="9" fontId="0" fillId="2" borderId="0" xfId="19" applyFill="1" applyBorder="1" applyAlignment="1">
      <alignment/>
    </xf>
    <xf numFmtId="0" fontId="0" fillId="2" borderId="34" xfId="0" applyFill="1" applyBorder="1" applyAlignment="1">
      <alignment horizontal="centerContinuous"/>
    </xf>
    <xf numFmtId="204" fontId="0" fillId="2" borderId="11" xfId="19" applyNumberFormat="1" applyFont="1" applyFill="1" applyBorder="1" applyAlignment="1" quotePrefix="1">
      <alignment wrapText="1"/>
    </xf>
    <xf numFmtId="0" fontId="25" fillId="2" borderId="39" xfId="0" applyFont="1" applyFill="1" applyBorder="1" applyAlignment="1">
      <alignment horizontal="right"/>
    </xf>
    <xf numFmtId="0" fontId="1" fillId="2" borderId="0" xfId="0" applyFont="1" applyFill="1" applyBorder="1" applyAlignment="1" quotePrefix="1">
      <alignment horizontal="left" wrapText="1"/>
    </xf>
    <xf numFmtId="0" fontId="25" fillId="2" borderId="14" xfId="0" applyFont="1" applyFill="1" applyBorder="1" applyAlignment="1">
      <alignment horizontal="right"/>
    </xf>
    <xf numFmtId="0" fontId="1" fillId="2" borderId="14" xfId="0" applyFont="1" applyFill="1" applyBorder="1" applyAlignment="1" quotePrefix="1">
      <alignment horizontal="left" wrapText="1"/>
    </xf>
    <xf numFmtId="0" fontId="0" fillId="2" borderId="3" xfId="0" applyFont="1" applyFill="1" applyBorder="1" applyAlignment="1" quotePrefix="1">
      <alignment horizontal="center" wrapText="1"/>
    </xf>
    <xf numFmtId="0" fontId="0" fillId="2" borderId="3" xfId="0" applyFill="1" applyBorder="1" applyAlignment="1">
      <alignment/>
    </xf>
    <xf numFmtId="204" fontId="0" fillId="2" borderId="14" xfId="0" applyNumberFormat="1" applyFont="1" applyFill="1" applyBorder="1" applyAlignment="1" quotePrefix="1">
      <alignment horizontal="center" wrapText="1"/>
    </xf>
    <xf numFmtId="204" fontId="0" fillId="2" borderId="14" xfId="0" applyNumberFormat="1" applyFill="1" applyBorder="1" applyAlignment="1">
      <alignment/>
    </xf>
    <xf numFmtId="204" fontId="0" fillId="2" borderId="0" xfId="0" applyNumberFormat="1" applyFont="1" applyFill="1" applyBorder="1" applyAlignment="1" quotePrefix="1">
      <alignment wrapText="1"/>
    </xf>
    <xf numFmtId="0" fontId="0" fillId="2" borderId="0" xfId="0" applyFont="1" applyFill="1" applyBorder="1" applyAlignment="1" quotePrefix="1">
      <alignment horizontal="right"/>
    </xf>
    <xf numFmtId="0" fontId="0" fillId="2" borderId="0" xfId="0" applyFill="1" applyBorder="1" applyAlignment="1">
      <alignment wrapText="1"/>
    </xf>
    <xf numFmtId="0" fontId="0" fillId="2" borderId="0" xfId="0" applyFill="1" applyBorder="1" applyAlignment="1">
      <alignment horizontal="centerContinuous" wrapText="1"/>
    </xf>
    <xf numFmtId="187" fontId="0" fillId="2" borderId="0" xfId="15" applyNumberFormat="1" applyFill="1" applyBorder="1" applyAlignment="1">
      <alignment horizontal="centerContinuous"/>
    </xf>
    <xf numFmtId="0" fontId="0" fillId="2" borderId="0" xfId="0" applyFill="1" applyBorder="1" applyAlignment="1">
      <alignment horizontal="center" vertical="center" wrapText="1"/>
    </xf>
    <xf numFmtId="183" fontId="0" fillId="2" borderId="0" xfId="0" applyNumberFormat="1" applyFill="1" applyBorder="1" applyAlignment="1">
      <alignment/>
    </xf>
    <xf numFmtId="0" fontId="1" fillId="2" borderId="33" xfId="0" applyFont="1" applyFill="1" applyBorder="1" applyAlignment="1">
      <alignment horizontal="right"/>
    </xf>
    <xf numFmtId="0" fontId="0" fillId="2" borderId="33" xfId="0" applyFont="1" applyFill="1" applyBorder="1" applyAlignment="1" quotePrefix="1">
      <alignment horizontal="right"/>
    </xf>
    <xf numFmtId="187" fontId="0" fillId="2" borderId="1" xfId="0" applyNumberFormat="1" applyFill="1" applyBorder="1" applyAlignment="1">
      <alignment horizontal="center"/>
    </xf>
    <xf numFmtId="0" fontId="0" fillId="2" borderId="1" xfId="0" applyFill="1" applyBorder="1" applyAlignment="1" quotePrefix="1">
      <alignment horizontal="center" wrapText="1"/>
    </xf>
    <xf numFmtId="0" fontId="24" fillId="2" borderId="1" xfId="0" applyFont="1" applyFill="1" applyBorder="1" applyAlignment="1">
      <alignment/>
    </xf>
    <xf numFmtId="10" fontId="0" fillId="2" borderId="1" xfId="19" applyNumberFormat="1" applyFill="1" applyBorder="1" applyAlignment="1">
      <alignment/>
    </xf>
    <xf numFmtId="0" fontId="24" fillId="2" borderId="1" xfId="0" applyFont="1" applyFill="1" applyBorder="1" applyAlignment="1" quotePrefix="1">
      <alignment horizontal="left"/>
    </xf>
    <xf numFmtId="172" fontId="0" fillId="2" borderId="1" xfId="0" applyNumberFormat="1" applyFill="1" applyBorder="1" applyAlignment="1">
      <alignment/>
    </xf>
    <xf numFmtId="172" fontId="0" fillId="2" borderId="0" xfId="0" applyNumberFormat="1" applyFill="1" applyAlignment="1">
      <alignment/>
    </xf>
    <xf numFmtId="0" fontId="12" fillId="2" borderId="0" xfId="0" applyFont="1" applyFill="1" applyAlignment="1">
      <alignment/>
    </xf>
    <xf numFmtId="0" fontId="11" fillId="2" borderId="0" xfId="0" applyFont="1" applyFill="1" applyAlignment="1">
      <alignment/>
    </xf>
    <xf numFmtId="0" fontId="11" fillId="2" borderId="0" xfId="0" applyFont="1" applyFill="1" applyAlignment="1">
      <alignment horizontal="centerContinuous"/>
    </xf>
    <xf numFmtId="0" fontId="0" fillId="2" borderId="39" xfId="0" applyFill="1" applyBorder="1" applyAlignment="1">
      <alignment/>
    </xf>
    <xf numFmtId="172" fontId="0" fillId="2" borderId="41" xfId="0" applyNumberFormat="1" applyFill="1" applyBorder="1" applyAlignment="1">
      <alignment/>
    </xf>
    <xf numFmtId="0" fontId="6" fillId="2" borderId="0" xfId="0" applyFont="1" applyFill="1" applyAlignment="1">
      <alignment/>
    </xf>
    <xf numFmtId="0" fontId="25" fillId="2" borderId="0" xfId="0" applyFont="1" applyFill="1" applyAlignment="1">
      <alignment/>
    </xf>
    <xf numFmtId="0" fontId="25" fillId="2" borderId="0" xfId="0" applyFont="1" applyFill="1" applyAlignment="1" quotePrefix="1">
      <alignment horizontal="left"/>
    </xf>
    <xf numFmtId="0" fontId="0" fillId="2" borderId="1" xfId="0" applyFill="1" applyBorder="1" applyAlignment="1" quotePrefix="1">
      <alignment horizontal="center" vertical="center" wrapText="1"/>
    </xf>
    <xf numFmtId="9" fontId="0" fillId="2" borderId="1" xfId="19" applyFill="1" applyBorder="1" applyAlignment="1" quotePrefix="1">
      <alignment horizontal="center" vertical="center" wrapText="1"/>
    </xf>
    <xf numFmtId="0" fontId="35" fillId="0" borderId="0" xfId="0" applyFont="1" applyAlignment="1">
      <alignment/>
    </xf>
    <xf numFmtId="0" fontId="4" fillId="0" borderId="0" xfId="0" applyFont="1" applyAlignment="1">
      <alignment/>
    </xf>
    <xf numFmtId="0" fontId="6" fillId="0" borderId="0" xfId="0" applyFont="1" applyAlignment="1">
      <alignment/>
    </xf>
    <xf numFmtId="0" fontId="4" fillId="2" borderId="17" xfId="0" applyFont="1" applyFill="1" applyBorder="1" applyAlignment="1">
      <alignment/>
    </xf>
    <xf numFmtId="0" fontId="1" fillId="2" borderId="15" xfId="0" applyFont="1" applyFill="1" applyBorder="1" applyAlignment="1">
      <alignment horizontal="right"/>
    </xf>
    <xf numFmtId="0" fontId="1" fillId="2" borderId="1" xfId="0" applyFont="1" applyFill="1" applyBorder="1" applyAlignment="1" quotePrefix="1">
      <alignment horizontal="center" vertical="center" wrapText="1"/>
    </xf>
    <xf numFmtId="9" fontId="0" fillId="2" borderId="42" xfId="19" applyFill="1" applyBorder="1" applyAlignment="1" quotePrefix="1">
      <alignment horizontal="center" vertical="center" wrapText="1"/>
    </xf>
    <xf numFmtId="0" fontId="18" fillId="2" borderId="1" xfId="0" applyFont="1" applyFill="1" applyBorder="1" applyAlignment="1">
      <alignment horizontal="center" wrapText="1"/>
    </xf>
    <xf numFmtId="0" fontId="25" fillId="2" borderId="0" xfId="0" applyFont="1" applyFill="1" applyAlignment="1">
      <alignment/>
    </xf>
    <xf numFmtId="14" fontId="0" fillId="2" borderId="1" xfId="0" applyNumberFormat="1" applyFill="1" applyBorder="1" applyAlignment="1">
      <alignment horizontal="centerContinuous"/>
    </xf>
    <xf numFmtId="193" fontId="0" fillId="2" borderId="1" xfId="15" applyNumberFormat="1" applyFill="1" applyBorder="1" applyAlignment="1">
      <alignment/>
    </xf>
    <xf numFmtId="9" fontId="0" fillId="3" borderId="1" xfId="19" applyFill="1" applyBorder="1" applyAlignment="1" applyProtection="1">
      <alignment/>
      <protection locked="0"/>
    </xf>
    <xf numFmtId="193" fontId="0" fillId="2" borderId="0" xfId="15" applyNumberFormat="1" applyFill="1" applyAlignment="1">
      <alignment/>
    </xf>
    <xf numFmtId="187" fontId="20" fillId="2" borderId="1" xfId="15" applyNumberFormat="1" applyFont="1" applyFill="1" applyBorder="1" applyAlignment="1">
      <alignment/>
    </xf>
    <xf numFmtId="0" fontId="0" fillId="2" borderId="43" xfId="0" applyFill="1" applyBorder="1" applyAlignment="1">
      <alignment/>
    </xf>
    <xf numFmtId="0" fontId="26" fillId="2" borderId="18" xfId="0" applyFont="1" applyFill="1" applyBorder="1" applyAlignment="1">
      <alignment horizontal="center" wrapText="1"/>
    </xf>
    <xf numFmtId="0" fontId="9" fillId="2" borderId="44" xfId="0" applyFont="1" applyFill="1" applyBorder="1" applyAlignment="1">
      <alignment/>
    </xf>
    <xf numFmtId="0" fontId="0" fillId="2" borderId="44" xfId="0" applyFill="1" applyBorder="1" applyAlignment="1">
      <alignment/>
    </xf>
    <xf numFmtId="193" fontId="0" fillId="2" borderId="44" xfId="15" applyNumberFormat="1" applyFill="1" applyBorder="1" applyAlignment="1">
      <alignment/>
    </xf>
    <xf numFmtId="0" fontId="0" fillId="2" borderId="19" xfId="0" applyFill="1" applyBorder="1" applyAlignment="1">
      <alignment/>
    </xf>
    <xf numFmtId="193" fontId="0" fillId="2" borderId="1" xfId="0" applyNumberFormat="1" applyFill="1" applyBorder="1" applyAlignment="1">
      <alignment/>
    </xf>
    <xf numFmtId="198" fontId="0" fillId="2" borderId="1" xfId="19" applyNumberFormat="1" applyFill="1" applyBorder="1" applyAlignment="1">
      <alignment/>
    </xf>
    <xf numFmtId="193" fontId="0" fillId="2" borderId="0" xfId="0" applyNumberFormat="1" applyFill="1" applyBorder="1" applyAlignment="1">
      <alignment/>
    </xf>
    <xf numFmtId="198" fontId="0" fillId="2" borderId="0" xfId="19" applyNumberFormat="1" applyFill="1" applyBorder="1" applyAlignment="1">
      <alignment/>
    </xf>
    <xf numFmtId="0" fontId="0" fillId="2" borderId="29" xfId="0" applyFill="1" applyBorder="1" applyAlignment="1">
      <alignment/>
    </xf>
    <xf numFmtId="193" fontId="0" fillId="2" borderId="29" xfId="0" applyNumberFormat="1" applyFill="1" applyBorder="1" applyAlignment="1">
      <alignment/>
    </xf>
    <xf numFmtId="0" fontId="0" fillId="2" borderId="45" xfId="0" applyFill="1" applyBorder="1" applyAlignment="1">
      <alignment/>
    </xf>
    <xf numFmtId="0" fontId="0" fillId="2" borderId="46" xfId="0" applyFill="1" applyBorder="1" applyAlignment="1" quotePrefix="1">
      <alignment horizontal="centerContinuous"/>
    </xf>
    <xf numFmtId="193" fontId="0" fillId="2" borderId="47" xfId="0" applyNumberFormat="1" applyFill="1" applyBorder="1" applyAlignment="1">
      <alignment/>
    </xf>
    <xf numFmtId="0" fontId="0" fillId="2" borderId="48" xfId="0" applyFill="1" applyBorder="1" applyAlignment="1">
      <alignment/>
    </xf>
    <xf numFmtId="0" fontId="0" fillId="2" borderId="49" xfId="0" applyFill="1" applyBorder="1" applyAlignment="1">
      <alignment/>
    </xf>
    <xf numFmtId="14" fontId="0" fillId="2" borderId="0" xfId="0" applyNumberFormat="1" applyFill="1" applyBorder="1" applyAlignment="1">
      <alignment/>
    </xf>
    <xf numFmtId="0" fontId="36" fillId="2" borderId="0" xfId="0" applyFont="1" applyFill="1" applyBorder="1" applyAlignment="1">
      <alignment horizontal="centerContinuous"/>
    </xf>
    <xf numFmtId="0" fontId="22" fillId="2" borderId="1" xfId="0" applyFont="1" applyFill="1" applyBorder="1" applyAlignment="1">
      <alignment horizontal="center" vertical="center" wrapText="1"/>
    </xf>
    <xf numFmtId="0" fontId="25" fillId="2" borderId="39" xfId="0" applyFont="1" applyFill="1" applyBorder="1" applyAlignment="1">
      <alignment horizontal="left" vertical="center" wrapText="1"/>
    </xf>
    <xf numFmtId="0" fontId="0" fillId="2" borderId="11" xfId="0" applyFill="1" applyBorder="1" applyAlignment="1">
      <alignment horizontal="right"/>
    </xf>
    <xf numFmtId="0" fontId="17" fillId="2" borderId="0" xfId="0" applyFont="1" applyFill="1" applyBorder="1" applyAlignment="1" quotePrefix="1">
      <alignment horizontal="center" wrapText="1"/>
    </xf>
    <xf numFmtId="0" fontId="11" fillId="2" borderId="1" xfId="0" applyFont="1" applyFill="1" applyBorder="1" applyAlignment="1" quotePrefix="1">
      <alignment horizontal="center" vertical="center" wrapText="1"/>
    </xf>
    <xf numFmtId="0" fontId="1" fillId="2" borderId="11" xfId="0" applyFont="1" applyFill="1" applyBorder="1" applyAlignment="1">
      <alignment horizontal="right"/>
    </xf>
    <xf numFmtId="0" fontId="0" fillId="2" borderId="11" xfId="0" applyFill="1" applyBorder="1" applyAlignment="1">
      <alignment horizontal="center" vertical="center" wrapText="1"/>
    </xf>
    <xf numFmtId="0" fontId="16" fillId="2" borderId="39" xfId="0" applyFont="1" applyFill="1" applyBorder="1" applyAlignment="1" quotePrefix="1">
      <alignment horizontal="right"/>
    </xf>
    <xf numFmtId="187" fontId="0" fillId="2" borderId="11" xfId="15" applyNumberFormat="1" applyFill="1" applyBorder="1" applyAlignment="1">
      <alignment/>
    </xf>
    <xf numFmtId="0" fontId="0" fillId="2" borderId="11" xfId="0" applyFill="1" applyBorder="1" applyAlignment="1">
      <alignment/>
    </xf>
    <xf numFmtId="187" fontId="0" fillId="2" borderId="0" xfId="15" applyNumberFormat="1" applyFill="1" applyBorder="1" applyAlignment="1">
      <alignment/>
    </xf>
    <xf numFmtId="0" fontId="25" fillId="2" borderId="14" xfId="0" applyFont="1" applyFill="1" applyBorder="1" applyAlignment="1">
      <alignment horizontal="center" vertical="center" wrapText="1"/>
    </xf>
    <xf numFmtId="0" fontId="0" fillId="2" borderId="0" xfId="0" applyFill="1" applyBorder="1" applyAlignment="1">
      <alignment horizontal="center"/>
    </xf>
    <xf numFmtId="173" fontId="0" fillId="2" borderId="0" xfId="15" applyNumberFormat="1" applyFill="1" applyBorder="1" applyAlignment="1">
      <alignment horizontal="right"/>
    </xf>
    <xf numFmtId="0" fontId="25" fillId="2" borderId="14" xfId="0" applyFont="1" applyFill="1" applyBorder="1" applyAlignment="1" quotePrefix="1">
      <alignment horizontal="centerContinuous" wrapText="1"/>
    </xf>
    <xf numFmtId="173" fontId="0" fillId="2" borderId="0" xfId="15" applyNumberFormat="1" applyFill="1" applyBorder="1" applyAlignment="1">
      <alignment horizontal="center"/>
    </xf>
    <xf numFmtId="0" fontId="0" fillId="2" borderId="14" xfId="0" applyFill="1" applyBorder="1" applyAlignment="1">
      <alignment horizontal="center"/>
    </xf>
    <xf numFmtId="0" fontId="25" fillId="2" borderId="14" xfId="0" applyFont="1" applyFill="1" applyBorder="1" applyAlignment="1">
      <alignment horizontal="centerContinuous" vertical="center" wrapText="1"/>
    </xf>
    <xf numFmtId="193" fontId="0" fillId="4" borderId="1" xfId="15" applyNumberFormat="1" applyFill="1" applyBorder="1" applyAlignment="1" applyProtection="1">
      <alignment/>
      <protection locked="0"/>
    </xf>
    <xf numFmtId="0" fontId="22" fillId="2" borderId="1" xfId="0" applyFont="1" applyFill="1" applyBorder="1" applyAlignment="1">
      <alignment horizontal="center" vertical="center"/>
    </xf>
    <xf numFmtId="14" fontId="18" fillId="2" borderId="1" xfId="0" applyNumberFormat="1" applyFont="1" applyFill="1" applyBorder="1" applyAlignment="1" quotePrefix="1">
      <alignment horizontal="center" vertical="center" wrapText="1"/>
    </xf>
    <xf numFmtId="0" fontId="18" fillId="2" borderId="1" xfId="0" applyFont="1" applyFill="1" applyBorder="1" applyAlignment="1" quotePrefix="1">
      <alignment horizontal="center" vertical="center" wrapText="1"/>
    </xf>
    <xf numFmtId="0" fontId="18" fillId="2" borderId="1" xfId="0" applyFont="1" applyFill="1" applyBorder="1" applyAlignment="1">
      <alignment horizontal="center" vertical="center" wrapText="1"/>
    </xf>
    <xf numFmtId="14" fontId="9" fillId="2" borderId="1" xfId="0" applyNumberFormat="1" applyFont="1" applyFill="1" applyBorder="1" applyAlignment="1" quotePrefix="1">
      <alignment horizontal="center" vertical="center" wrapText="1"/>
    </xf>
    <xf numFmtId="0" fontId="9" fillId="2" borderId="1" xfId="0" applyFont="1" applyFill="1" applyBorder="1" applyAlignment="1" quotePrefix="1">
      <alignment horizontal="center" vertical="center" wrapText="1"/>
    </xf>
    <xf numFmtId="0" fontId="11" fillId="2" borderId="1" xfId="0" applyFont="1" applyFill="1" applyBorder="1" applyAlignment="1">
      <alignment horizontal="right" wrapText="1"/>
    </xf>
    <xf numFmtId="0" fontId="11" fillId="2" borderId="1" xfId="0" applyFont="1" applyFill="1" applyBorder="1" applyAlignment="1">
      <alignment/>
    </xf>
    <xf numFmtId="0" fontId="14" fillId="2" borderId="0" xfId="0" applyFont="1" applyFill="1" applyAlignment="1">
      <alignment/>
    </xf>
    <xf numFmtId="184" fontId="11" fillId="2" borderId="1" xfId="17" applyFont="1" applyFill="1" applyBorder="1" applyAlignment="1">
      <alignment horizontal="right" wrapText="1"/>
    </xf>
    <xf numFmtId="0" fontId="11" fillId="2" borderId="1" xfId="0" applyFont="1" applyFill="1" applyBorder="1" applyAlignment="1">
      <alignment horizontal="left" wrapText="1"/>
    </xf>
    <xf numFmtId="0" fontId="12" fillId="2" borderId="1" xfId="0" applyFont="1" applyFill="1" applyBorder="1" applyAlignment="1">
      <alignment horizontal="center" vertical="center" wrapText="1"/>
    </xf>
    <xf numFmtId="186" fontId="11" fillId="2" borderId="1" xfId="15" applyNumberFormat="1" applyFont="1" applyFill="1" applyBorder="1" applyAlignment="1">
      <alignment/>
    </xf>
    <xf numFmtId="0" fontId="11" fillId="2" borderId="16" xfId="0" applyFont="1" applyFill="1" applyBorder="1" applyAlignment="1">
      <alignment/>
    </xf>
    <xf numFmtId="0" fontId="11" fillId="2" borderId="0" xfId="0" applyFont="1" applyFill="1" applyAlignment="1">
      <alignment horizontal="center"/>
    </xf>
    <xf numFmtId="0" fontId="10" fillId="2" borderId="0" xfId="0" applyFont="1" applyFill="1" applyBorder="1" applyAlignment="1">
      <alignment/>
    </xf>
    <xf numFmtId="0" fontId="11" fillId="2" borderId="0" xfId="0" applyFont="1" applyFill="1" applyBorder="1" applyAlignment="1">
      <alignment/>
    </xf>
    <xf numFmtId="0" fontId="11" fillId="2" borderId="0" xfId="0" applyFont="1" applyFill="1" applyBorder="1" applyAlignment="1">
      <alignment/>
    </xf>
    <xf numFmtId="0" fontId="37" fillId="2" borderId="0" xfId="0" applyFont="1" applyFill="1" applyBorder="1" applyAlignment="1">
      <alignment horizontal="centerContinuous"/>
    </xf>
    <xf numFmtId="0" fontId="10" fillId="2" borderId="0" xfId="0" applyFont="1" applyFill="1" applyBorder="1" applyAlignment="1">
      <alignment horizontal="centerContinuous"/>
    </xf>
    <xf numFmtId="0" fontId="11" fillId="2" borderId="0" xfId="0" applyFont="1" applyFill="1" applyBorder="1" applyAlignment="1">
      <alignment horizontal="centerContinuous"/>
    </xf>
    <xf numFmtId="0" fontId="38" fillId="2" borderId="0" xfId="0" applyFont="1" applyFill="1" applyAlignment="1">
      <alignment/>
    </xf>
    <xf numFmtId="0" fontId="38" fillId="2" borderId="50" xfId="0" applyFont="1" applyFill="1" applyBorder="1" applyAlignment="1">
      <alignment/>
    </xf>
    <xf numFmtId="0" fontId="12" fillId="2" borderId="0" xfId="0" applyFont="1" applyFill="1" applyAlignment="1">
      <alignment/>
    </xf>
    <xf numFmtId="0" fontId="0" fillId="2" borderId="7" xfId="0" applyFill="1" applyBorder="1" applyAlignment="1" applyProtection="1">
      <alignment horizontal="right"/>
      <protection/>
    </xf>
    <xf numFmtId="0" fontId="0" fillId="2" borderId="26" xfId="0" applyFill="1" applyBorder="1" applyAlignment="1" applyProtection="1">
      <alignment horizontal="right"/>
      <protection/>
    </xf>
    <xf numFmtId="0" fontId="1" fillId="2" borderId="7" xfId="0" applyFont="1" applyFill="1" applyBorder="1" applyAlignment="1" applyProtection="1" quotePrefix="1">
      <alignment horizontal="right"/>
      <protection/>
    </xf>
    <xf numFmtId="0" fontId="25" fillId="2" borderId="0" xfId="0" applyFont="1" applyFill="1" applyBorder="1" applyAlignment="1" applyProtection="1">
      <alignment horizontal="left"/>
      <protection/>
    </xf>
    <xf numFmtId="0" fontId="25" fillId="2" borderId="16" xfId="0" applyFont="1" applyFill="1" applyBorder="1" applyAlignment="1" applyProtection="1">
      <alignment horizontal="center" vertical="center" wrapText="1"/>
      <protection/>
    </xf>
    <xf numFmtId="0" fontId="25" fillId="2" borderId="51" xfId="0" applyFont="1" applyFill="1" applyBorder="1" applyAlignment="1" applyProtection="1">
      <alignment horizontal="center"/>
      <protection/>
    </xf>
    <xf numFmtId="0" fontId="25" fillId="2" borderId="16" xfId="0" applyFont="1" applyFill="1" applyBorder="1" applyAlignment="1" applyProtection="1">
      <alignment horizontal="center"/>
      <protection/>
    </xf>
    <xf numFmtId="0" fontId="20" fillId="2" borderId="0" xfId="0" applyFont="1" applyFill="1" applyBorder="1" applyAlignment="1" applyProtection="1">
      <alignment horizontal="left"/>
      <protection/>
    </xf>
    <xf numFmtId="176" fontId="1" fillId="3" borderId="1" xfId="0" applyNumberFormat="1" applyFont="1" applyFill="1" applyBorder="1" applyAlignment="1" applyProtection="1">
      <alignment horizontal="right"/>
      <protection locked="0"/>
    </xf>
    <xf numFmtId="169" fontId="0" fillId="2" borderId="52" xfId="15" applyNumberFormat="1" applyFill="1" applyBorder="1" applyAlignment="1">
      <alignment/>
    </xf>
    <xf numFmtId="169" fontId="0" fillId="2" borderId="0" xfId="15" applyNumberFormat="1" applyFill="1" applyBorder="1" applyAlignment="1">
      <alignment/>
    </xf>
    <xf numFmtId="169" fontId="0" fillId="2" borderId="2" xfId="15" applyNumberFormat="1" applyFill="1" applyBorder="1" applyAlignment="1">
      <alignment horizontal="right"/>
    </xf>
    <xf numFmtId="169" fontId="0" fillId="2" borderId="4" xfId="15" applyNumberFormat="1" applyFill="1" applyBorder="1" applyAlignment="1">
      <alignment/>
    </xf>
    <xf numFmtId="169" fontId="0" fillId="2" borderId="0" xfId="0" applyNumberFormat="1" applyFill="1" applyAlignment="1">
      <alignment/>
    </xf>
    <xf numFmtId="169" fontId="0" fillId="2" borderId="53" xfId="0" applyNumberFormat="1" applyFill="1" applyBorder="1" applyAlignment="1">
      <alignment/>
    </xf>
    <xf numFmtId="169" fontId="0" fillId="2" borderId="0" xfId="0" applyNumberFormat="1" applyFill="1" applyBorder="1" applyAlignment="1">
      <alignment/>
    </xf>
    <xf numFmtId="169" fontId="1" fillId="2" borderId="31" xfId="15" applyNumberFormat="1" applyFont="1" applyFill="1" applyBorder="1" applyAlignment="1">
      <alignment horizontal="right"/>
    </xf>
    <xf numFmtId="169" fontId="11" fillId="3" borderId="18" xfId="15" applyNumberFormat="1" applyFont="1" applyFill="1" applyBorder="1" applyAlignment="1" applyProtection="1">
      <alignment horizontal="left"/>
      <protection locked="0"/>
    </xf>
    <xf numFmtId="169" fontId="11" fillId="3" borderId="20" xfId="15" applyNumberFormat="1" applyFont="1" applyFill="1" applyBorder="1" applyAlignment="1" applyProtection="1">
      <alignment horizontal="left"/>
      <protection locked="0"/>
    </xf>
    <xf numFmtId="169" fontId="0" fillId="2" borderId="31" xfId="15" applyNumberFormat="1" applyFill="1" applyBorder="1" applyAlignment="1" applyProtection="1">
      <alignment horizontal="left"/>
      <protection/>
    </xf>
    <xf numFmtId="169" fontId="0" fillId="2" borderId="0" xfId="15" applyNumberFormat="1" applyFill="1" applyBorder="1" applyAlignment="1" applyProtection="1">
      <alignment horizontal="left"/>
      <protection/>
    </xf>
    <xf numFmtId="169" fontId="0" fillId="2" borderId="0" xfId="0" applyNumberFormat="1" applyFill="1" applyBorder="1" applyAlignment="1" applyProtection="1">
      <alignment horizontal="left"/>
      <protection/>
    </xf>
    <xf numFmtId="169" fontId="0" fillId="3" borderId="20" xfId="15" applyNumberFormat="1" applyFill="1" applyBorder="1" applyAlignment="1" applyProtection="1">
      <alignment horizontal="left"/>
      <protection locked="0"/>
    </xf>
    <xf numFmtId="169" fontId="0" fillId="3" borderId="44" xfId="15" applyNumberFormat="1" applyFill="1" applyBorder="1" applyAlignment="1" applyProtection="1">
      <alignment horizontal="left"/>
      <protection locked="0"/>
    </xf>
    <xf numFmtId="169" fontId="0" fillId="2" borderId="31" xfId="0" applyNumberFormat="1" applyFill="1" applyBorder="1" applyAlignment="1" applyProtection="1">
      <alignment horizontal="left"/>
      <protection/>
    </xf>
    <xf numFmtId="169" fontId="0" fillId="2" borderId="54" xfId="15" applyNumberFormat="1" applyFill="1" applyBorder="1" applyAlignment="1" applyProtection="1">
      <alignment horizontal="left"/>
      <protection/>
    </xf>
    <xf numFmtId="169" fontId="0" fillId="3" borderId="55" xfId="15" applyNumberFormat="1" applyFill="1" applyBorder="1" applyAlignment="1" applyProtection="1">
      <alignment horizontal="left"/>
      <protection locked="0"/>
    </xf>
    <xf numFmtId="169" fontId="0" fillId="2" borderId="56" xfId="0" applyNumberFormat="1" applyFill="1" applyBorder="1" applyAlignment="1" applyProtection="1">
      <alignment/>
      <protection/>
    </xf>
    <xf numFmtId="169" fontId="0" fillId="2" borderId="54" xfId="0" applyNumberFormat="1" applyFill="1" applyBorder="1" applyAlignment="1" applyProtection="1">
      <alignment/>
      <protection/>
    </xf>
    <xf numFmtId="169" fontId="0" fillId="2" borderId="56" xfId="15" applyNumberFormat="1" applyFont="1" applyFill="1" applyBorder="1" applyAlignment="1" applyProtection="1">
      <alignment horizontal="left"/>
      <protection/>
    </xf>
    <xf numFmtId="169" fontId="7" fillId="2" borderId="31" xfId="15" applyNumberFormat="1" applyFont="1" applyFill="1" applyBorder="1" applyAlignment="1" applyProtection="1">
      <alignment horizontal="right"/>
      <protection/>
    </xf>
    <xf numFmtId="169" fontId="0" fillId="3" borderId="18" xfId="15" applyNumberFormat="1" applyFont="1" applyFill="1" applyBorder="1" applyAlignment="1" applyProtection="1">
      <alignment/>
      <protection locked="0"/>
    </xf>
    <xf numFmtId="169" fontId="0" fillId="3" borderId="57" xfId="15" applyNumberFormat="1" applyFont="1" applyFill="1" applyBorder="1" applyAlignment="1" applyProtection="1">
      <alignment/>
      <protection locked="0"/>
    </xf>
    <xf numFmtId="169" fontId="0" fillId="2" borderId="31" xfId="15" applyNumberFormat="1" applyFill="1" applyBorder="1" applyAlignment="1" applyProtection="1">
      <alignment/>
      <protection/>
    </xf>
    <xf numFmtId="169" fontId="0" fillId="2" borderId="0" xfId="0" applyNumberFormat="1" applyFill="1" applyBorder="1" applyAlignment="1" applyProtection="1">
      <alignment/>
      <protection/>
    </xf>
    <xf numFmtId="169" fontId="0" fillId="2" borderId="19" xfId="0" applyNumberFormat="1" applyFill="1" applyBorder="1" applyAlignment="1" applyProtection="1">
      <alignment/>
      <protection/>
    </xf>
    <xf numFmtId="169" fontId="0" fillId="2" borderId="31" xfId="0" applyNumberFormat="1" applyFill="1" applyBorder="1" applyAlignment="1" applyProtection="1">
      <alignment/>
      <protection/>
    </xf>
    <xf numFmtId="169" fontId="0" fillId="3" borderId="18" xfId="15" applyNumberFormat="1" applyFill="1" applyBorder="1" applyAlignment="1" applyProtection="1">
      <alignment/>
      <protection locked="0"/>
    </xf>
    <xf numFmtId="169" fontId="0" fillId="3" borderId="20" xfId="15" applyNumberFormat="1" applyFill="1" applyBorder="1" applyAlignment="1" applyProtection="1">
      <alignment/>
      <protection locked="0"/>
    </xf>
    <xf numFmtId="169" fontId="0" fillId="3" borderId="19" xfId="15" applyNumberFormat="1" applyFill="1" applyBorder="1" applyAlignment="1" applyProtection="1">
      <alignment/>
      <protection locked="0"/>
    </xf>
    <xf numFmtId="169" fontId="0" fillId="2" borderId="18" xfId="15" applyNumberFormat="1" applyFill="1" applyBorder="1" applyAlignment="1" applyProtection="1">
      <alignment/>
      <protection/>
    </xf>
    <xf numFmtId="169" fontId="0" fillId="2" borderId="15" xfId="15" applyNumberFormat="1" applyFill="1" applyBorder="1" applyAlignment="1" applyProtection="1">
      <alignment/>
      <protection/>
    </xf>
    <xf numFmtId="169" fontId="0" fillId="2" borderId="0" xfId="15" applyNumberFormat="1" applyFill="1" applyBorder="1" applyAlignment="1" applyProtection="1">
      <alignment/>
      <protection/>
    </xf>
    <xf numFmtId="169" fontId="19" fillId="3" borderId="1" xfId="0" applyNumberFormat="1" applyFont="1" applyFill="1" applyBorder="1" applyAlignment="1" applyProtection="1">
      <alignment/>
      <protection locked="0"/>
    </xf>
    <xf numFmtId="169" fontId="1" fillId="2" borderId="31" xfId="0" applyNumberFormat="1" applyFont="1" applyFill="1" applyBorder="1" applyAlignment="1">
      <alignment/>
    </xf>
    <xf numFmtId="169" fontId="0" fillId="2" borderId="25" xfId="0" applyNumberFormat="1" applyFill="1" applyBorder="1" applyAlignment="1" applyProtection="1">
      <alignment/>
      <protection/>
    </xf>
    <xf numFmtId="169" fontId="0" fillId="3" borderId="2" xfId="0" applyNumberFormat="1" applyFill="1" applyBorder="1" applyAlignment="1" applyProtection="1">
      <alignment/>
      <protection locked="0"/>
    </xf>
    <xf numFmtId="169" fontId="0" fillId="3" borderId="3" xfId="0" applyNumberFormat="1" applyFill="1" applyBorder="1" applyAlignment="1" applyProtection="1">
      <alignment/>
      <protection locked="0"/>
    </xf>
    <xf numFmtId="169" fontId="0" fillId="3" borderId="4" xfId="0" applyNumberFormat="1" applyFill="1" applyBorder="1" applyAlignment="1" applyProtection="1">
      <alignment/>
      <protection locked="0"/>
    </xf>
    <xf numFmtId="169" fontId="0" fillId="2" borderId="2" xfId="0" applyNumberFormat="1" applyFill="1" applyBorder="1" applyAlignment="1" applyProtection="1">
      <alignment/>
      <protection/>
    </xf>
    <xf numFmtId="169" fontId="0" fillId="3" borderId="1" xfId="0" applyNumberFormat="1" applyFill="1" applyBorder="1" applyAlignment="1" applyProtection="1">
      <alignment/>
      <protection locked="0"/>
    </xf>
    <xf numFmtId="169" fontId="0" fillId="2" borderId="1" xfId="0" applyNumberFormat="1" applyFill="1" applyBorder="1" applyAlignment="1" applyProtection="1">
      <alignment/>
      <protection/>
    </xf>
    <xf numFmtId="169" fontId="1" fillId="2" borderId="31" xfId="0" applyNumberFormat="1" applyFont="1" applyFill="1" applyBorder="1" applyAlignment="1" applyProtection="1">
      <alignment horizontal="center" wrapText="1"/>
      <protection/>
    </xf>
    <xf numFmtId="169" fontId="1" fillId="2" borderId="58" xfId="0" applyNumberFormat="1" applyFont="1" applyFill="1" applyBorder="1" applyAlignment="1" applyProtection="1" quotePrefix="1">
      <alignment horizontal="center" wrapText="1"/>
      <protection/>
    </xf>
    <xf numFmtId="169" fontId="1" fillId="2" borderId="1" xfId="0" applyNumberFormat="1" applyFont="1" applyFill="1" applyBorder="1" applyAlignment="1" applyProtection="1" quotePrefix="1">
      <alignment horizontal="center" wrapText="1"/>
      <protection/>
    </xf>
    <xf numFmtId="169" fontId="0" fillId="3" borderId="59" xfId="0" applyNumberFormat="1" applyFill="1" applyBorder="1" applyAlignment="1" applyProtection="1">
      <alignment/>
      <protection locked="0"/>
    </xf>
    <xf numFmtId="169" fontId="0" fillId="2" borderId="0" xfId="0" applyNumberFormat="1" applyFont="1" applyFill="1" applyBorder="1" applyAlignment="1" applyProtection="1">
      <alignment horizontal="left"/>
      <protection/>
    </xf>
    <xf numFmtId="169" fontId="7" fillId="2" borderId="0" xfId="0" applyNumberFormat="1" applyFont="1" applyFill="1" applyBorder="1" applyAlignment="1" applyProtection="1">
      <alignment/>
      <protection/>
    </xf>
    <xf numFmtId="169" fontId="1" fillId="2" borderId="58" xfId="0" applyNumberFormat="1" applyFont="1" applyFill="1" applyBorder="1" applyAlignment="1" applyProtection="1">
      <alignment horizontal="center" wrapText="1"/>
      <protection/>
    </xf>
    <xf numFmtId="169" fontId="0" fillId="3" borderId="33" xfId="0" applyNumberFormat="1" applyFill="1" applyBorder="1" applyAlignment="1" applyProtection="1">
      <alignment/>
      <protection locked="0"/>
    </xf>
    <xf numFmtId="169" fontId="0" fillId="2" borderId="9" xfId="0" applyNumberFormat="1" applyFill="1" applyBorder="1" applyAlignment="1" applyProtection="1">
      <alignment/>
      <protection/>
    </xf>
    <xf numFmtId="169" fontId="0" fillId="2" borderId="60" xfId="0" applyNumberFormat="1" applyFill="1" applyBorder="1" applyAlignment="1" applyProtection="1">
      <alignment/>
      <protection/>
    </xf>
    <xf numFmtId="169" fontId="0" fillId="2" borderId="61" xfId="0" applyNumberFormat="1" applyFill="1" applyBorder="1" applyAlignment="1" applyProtection="1">
      <alignment/>
      <protection/>
    </xf>
    <xf numFmtId="169" fontId="0" fillId="2" borderId="62" xfId="0" applyNumberFormat="1" applyFill="1" applyBorder="1" applyAlignment="1" applyProtection="1">
      <alignment/>
      <protection/>
    </xf>
    <xf numFmtId="169" fontId="0" fillId="2" borderId="47" xfId="0" applyNumberFormat="1" applyFill="1" applyBorder="1" applyAlignment="1" applyProtection="1">
      <alignment/>
      <protection/>
    </xf>
    <xf numFmtId="169" fontId="0" fillId="2" borderId="63" xfId="0" applyNumberFormat="1" applyFill="1" applyBorder="1" applyAlignment="1" applyProtection="1">
      <alignment/>
      <protection/>
    </xf>
    <xf numFmtId="169" fontId="0" fillId="2" borderId="64" xfId="0" applyNumberFormat="1" applyFill="1" applyBorder="1" applyAlignment="1" applyProtection="1">
      <alignment/>
      <protection/>
    </xf>
    <xf numFmtId="169" fontId="0" fillId="2" borderId="51" xfId="0" applyNumberFormat="1" applyFill="1" applyBorder="1" applyAlignment="1" applyProtection="1">
      <alignment/>
      <protection/>
    </xf>
    <xf numFmtId="169" fontId="18" fillId="2" borderId="52" xfId="0" applyNumberFormat="1" applyFont="1" applyFill="1" applyBorder="1" applyAlignment="1" applyProtection="1">
      <alignment/>
      <protection/>
    </xf>
    <xf numFmtId="169" fontId="0" fillId="2" borderId="62" xfId="15" applyNumberFormat="1" applyFill="1" applyBorder="1" applyAlignment="1" applyProtection="1">
      <alignment/>
      <protection/>
    </xf>
    <xf numFmtId="169" fontId="0" fillId="2" borderId="52" xfId="0" applyNumberFormat="1" applyFill="1" applyBorder="1" applyAlignment="1" applyProtection="1">
      <alignment/>
      <protection/>
    </xf>
    <xf numFmtId="169" fontId="1" fillId="2" borderId="65" xfId="0" applyNumberFormat="1" applyFont="1" applyFill="1" applyBorder="1" applyAlignment="1" applyProtection="1">
      <alignment horizontal="center" wrapText="1"/>
      <protection/>
    </xf>
    <xf numFmtId="169" fontId="1" fillId="2" borderId="62" xfId="0" applyNumberFormat="1" applyFont="1" applyFill="1" applyBorder="1" applyAlignment="1" applyProtection="1">
      <alignment horizontal="center" wrapText="1"/>
      <protection/>
    </xf>
    <xf numFmtId="169" fontId="0" fillId="2" borderId="47" xfId="15" applyNumberFormat="1" applyFill="1" applyBorder="1" applyAlignment="1" applyProtection="1">
      <alignment/>
      <protection/>
    </xf>
    <xf numFmtId="169" fontId="0" fillId="2" borderId="66" xfId="0" applyNumberFormat="1" applyFill="1" applyBorder="1" applyAlignment="1" applyProtection="1">
      <alignment/>
      <protection/>
    </xf>
    <xf numFmtId="169" fontId="0" fillId="2" borderId="52" xfId="15" applyNumberFormat="1" applyFill="1" applyBorder="1" applyAlignment="1" applyProtection="1">
      <alignment/>
      <protection/>
    </xf>
    <xf numFmtId="169" fontId="0" fillId="2" borderId="31" xfId="0" applyNumberFormat="1" applyFont="1" applyFill="1" applyBorder="1" applyAlignment="1" applyProtection="1">
      <alignment/>
      <protection/>
    </xf>
    <xf numFmtId="169" fontId="0" fillId="2" borderId="2" xfId="19" applyNumberFormat="1" applyFont="1" applyFill="1" applyBorder="1" applyAlignment="1" quotePrefix="1">
      <alignment wrapText="1"/>
    </xf>
    <xf numFmtId="169" fontId="0" fillId="2" borderId="1" xfId="0" applyNumberFormat="1" applyFont="1" applyFill="1" applyBorder="1" applyAlignment="1" quotePrefix="1">
      <alignment wrapText="1"/>
    </xf>
    <xf numFmtId="169" fontId="0" fillId="2" borderId="3" xfId="0" applyNumberFormat="1" applyFont="1" applyFill="1" applyBorder="1" applyAlignment="1" quotePrefix="1">
      <alignment wrapText="1"/>
    </xf>
    <xf numFmtId="169" fontId="0" fillId="2" borderId="3" xfId="0" applyNumberFormat="1" applyFill="1" applyBorder="1" applyAlignment="1">
      <alignment/>
    </xf>
    <xf numFmtId="169" fontId="0" fillId="2" borderId="67" xfId="19" applyNumberFormat="1" applyFont="1" applyFill="1" applyBorder="1" applyAlignment="1" quotePrefix="1">
      <alignment wrapText="1"/>
    </xf>
    <xf numFmtId="169" fontId="0" fillId="2" borderId="3" xfId="0" applyNumberFormat="1" applyFont="1" applyFill="1" applyBorder="1" applyAlignment="1" quotePrefix="1">
      <alignment horizontal="center" wrapText="1"/>
    </xf>
    <xf numFmtId="169" fontId="0" fillId="2" borderId="1" xfId="0" applyNumberFormat="1" applyFill="1" applyBorder="1" applyAlignment="1">
      <alignment/>
    </xf>
    <xf numFmtId="169" fontId="0" fillId="2" borderId="1" xfId="19" applyNumberFormat="1" applyFont="1" applyFill="1" applyBorder="1" applyAlignment="1" quotePrefix="1">
      <alignment wrapText="1"/>
    </xf>
    <xf numFmtId="169" fontId="0" fillId="2" borderId="68" xfId="19" applyNumberFormat="1" applyFill="1" applyBorder="1" applyAlignment="1">
      <alignment/>
    </xf>
    <xf numFmtId="169" fontId="0" fillId="2" borderId="42" xfId="0" applyNumberFormat="1" applyFill="1" applyBorder="1" applyAlignment="1">
      <alignment/>
    </xf>
    <xf numFmtId="169" fontId="0" fillId="2" borderId="68" xfId="0" applyNumberFormat="1" applyFill="1" applyBorder="1" applyAlignment="1">
      <alignment/>
    </xf>
    <xf numFmtId="169" fontId="0" fillId="2" borderId="34" xfId="0" applyNumberFormat="1" applyFill="1" applyBorder="1" applyAlignment="1">
      <alignment/>
    </xf>
    <xf numFmtId="169" fontId="0" fillId="2" borderId="69" xfId="0" applyNumberFormat="1" applyFill="1" applyBorder="1" applyAlignment="1">
      <alignment/>
    </xf>
    <xf numFmtId="169" fontId="0" fillId="3" borderId="1" xfId="0" applyNumberFormat="1" applyFill="1" applyBorder="1" applyAlignment="1" applyProtection="1">
      <alignment vertical="center" wrapText="1"/>
      <protection locked="0"/>
    </xf>
    <xf numFmtId="169" fontId="0" fillId="2" borderId="70" xfId="0" applyNumberFormat="1" applyFill="1" applyBorder="1" applyAlignment="1">
      <alignment/>
    </xf>
    <xf numFmtId="169" fontId="0" fillId="2" borderId="0" xfId="0" applyNumberFormat="1" applyFill="1" applyBorder="1" applyAlignment="1">
      <alignment/>
    </xf>
    <xf numFmtId="169" fontId="0" fillId="2" borderId="68" xfId="0" applyNumberFormat="1" applyFill="1" applyBorder="1" applyAlignment="1">
      <alignment/>
    </xf>
    <xf numFmtId="0" fontId="38" fillId="2" borderId="71" xfId="0" applyFont="1" applyFill="1" applyBorder="1" applyAlignment="1">
      <alignment/>
    </xf>
    <xf numFmtId="0" fontId="38" fillId="2" borderId="33" xfId="0" applyFont="1" applyFill="1" applyBorder="1" applyAlignment="1">
      <alignment/>
    </xf>
    <xf numFmtId="0" fontId="38" fillId="2" borderId="2" xfId="0" applyFont="1" applyFill="1" applyBorder="1" applyAlignment="1">
      <alignment/>
    </xf>
    <xf numFmtId="0" fontId="38" fillId="2" borderId="38" xfId="0" applyFont="1" applyFill="1" applyBorder="1" applyAlignment="1">
      <alignment/>
    </xf>
    <xf numFmtId="0" fontId="25" fillId="2" borderId="0" xfId="0" applyFont="1" applyFill="1" applyBorder="1" applyAlignment="1">
      <alignment horizontal="right"/>
    </xf>
    <xf numFmtId="0" fontId="0" fillId="2" borderId="21" xfId="0" applyFill="1" applyBorder="1" applyAlignment="1">
      <alignment/>
    </xf>
    <xf numFmtId="169" fontId="0" fillId="3" borderId="72" xfId="0" applyNumberFormat="1" applyFill="1" applyBorder="1" applyAlignment="1" applyProtection="1">
      <alignment/>
      <protection locked="0"/>
    </xf>
    <xf numFmtId="9" fontId="0" fillId="2" borderId="72" xfId="15" applyNumberFormat="1" applyFill="1" applyBorder="1" applyAlignment="1" applyProtection="1">
      <alignment horizontal="center"/>
      <protection/>
    </xf>
    <xf numFmtId="169" fontId="0" fillId="2" borderId="73" xfId="0" applyNumberFormat="1" applyFill="1" applyBorder="1" applyAlignment="1" applyProtection="1">
      <alignment/>
      <protection/>
    </xf>
    <xf numFmtId="9" fontId="0" fillId="2" borderId="74" xfId="15" applyNumberFormat="1" applyFill="1" applyBorder="1" applyAlignment="1" applyProtection="1">
      <alignment horizontal="center"/>
      <protection/>
    </xf>
    <xf numFmtId="169" fontId="0" fillId="2" borderId="75" xfId="0" applyNumberFormat="1" applyFill="1" applyBorder="1" applyAlignment="1" applyProtection="1">
      <alignment/>
      <protection/>
    </xf>
    <xf numFmtId="169" fontId="0" fillId="3" borderId="76" xfId="0" applyNumberFormat="1" applyFill="1" applyBorder="1" applyAlignment="1" applyProtection="1">
      <alignment/>
      <protection locked="0"/>
    </xf>
    <xf numFmtId="9" fontId="0" fillId="2" borderId="76" xfId="15" applyNumberFormat="1" applyFont="1" applyFill="1" applyBorder="1" applyAlignment="1" applyProtection="1">
      <alignment horizontal="center"/>
      <protection/>
    </xf>
    <xf numFmtId="169" fontId="0" fillId="2" borderId="77" xfId="0" applyNumberFormat="1" applyFill="1" applyBorder="1" applyAlignment="1" applyProtection="1">
      <alignment/>
      <protection/>
    </xf>
    <xf numFmtId="0" fontId="18" fillId="2" borderId="1" xfId="0" applyFont="1" applyFill="1" applyBorder="1" applyAlignment="1" quotePrefix="1">
      <alignment horizontal="center" vertical="center" wrapText="1"/>
    </xf>
    <xf numFmtId="0" fontId="26" fillId="2" borderId="0" xfId="0" applyFont="1" applyFill="1" applyBorder="1" applyAlignment="1">
      <alignment/>
    </xf>
    <xf numFmtId="0" fontId="25" fillId="2" borderId="13" xfId="0" applyFont="1" applyFill="1" applyBorder="1" applyAlignment="1">
      <alignment/>
    </xf>
    <xf numFmtId="0" fontId="1" fillId="2" borderId="39" xfId="0" applyFont="1" applyFill="1" applyBorder="1" applyAlignment="1">
      <alignment/>
    </xf>
    <xf numFmtId="0" fontId="25" fillId="2" borderId="14" xfId="0" applyFont="1" applyFill="1" applyBorder="1" applyAlignment="1">
      <alignment/>
    </xf>
    <xf numFmtId="0" fontId="16" fillId="2" borderId="12" xfId="0" applyFont="1" applyFill="1" applyBorder="1" applyAlignment="1">
      <alignment/>
    </xf>
    <xf numFmtId="0" fontId="1" fillId="2" borderId="11" xfId="0" applyFont="1" applyFill="1" applyBorder="1" applyAlignment="1">
      <alignment/>
    </xf>
    <xf numFmtId="0" fontId="1" fillId="2" borderId="33" xfId="0" applyFont="1" applyFill="1" applyBorder="1" applyAlignment="1">
      <alignment/>
    </xf>
    <xf numFmtId="183" fontId="1" fillId="2" borderId="31" xfId="0" applyNumberFormat="1" applyFont="1" applyFill="1" applyBorder="1" applyAlignment="1" applyProtection="1">
      <alignment horizontal="center" vertical="center" wrapText="1"/>
      <protection/>
    </xf>
    <xf numFmtId="183" fontId="1" fillId="2" borderId="31" xfId="0" applyNumberFormat="1" applyFont="1" applyFill="1" applyBorder="1" applyAlignment="1" applyProtection="1" quotePrefix="1">
      <alignment horizontal="center"/>
      <protection/>
    </xf>
    <xf numFmtId="183" fontId="0" fillId="2" borderId="3" xfId="0" applyNumberFormat="1" applyFill="1" applyBorder="1" applyAlignment="1" applyProtection="1">
      <alignment/>
      <protection/>
    </xf>
    <xf numFmtId="183" fontId="1" fillId="2" borderId="18" xfId="0" applyNumberFormat="1" applyFont="1" applyFill="1" applyBorder="1" applyAlignment="1" applyProtection="1">
      <alignment horizontal="right"/>
      <protection/>
    </xf>
    <xf numFmtId="0" fontId="0" fillId="0" borderId="3" xfId="0" applyBorder="1" applyAlignment="1">
      <alignment/>
    </xf>
    <xf numFmtId="169" fontId="0" fillId="3" borderId="22" xfId="0" applyNumberFormat="1" applyFill="1" applyBorder="1" applyAlignment="1" applyProtection="1">
      <alignment/>
      <protection locked="0"/>
    </xf>
    <xf numFmtId="0" fontId="25" fillId="2" borderId="1" xfId="0" applyFont="1" applyFill="1" applyBorder="1" applyAlignment="1">
      <alignment horizontal="center"/>
    </xf>
    <xf numFmtId="0" fontId="1" fillId="2" borderId="1" xfId="0" applyFont="1" applyFill="1" applyBorder="1" applyAlignment="1">
      <alignment horizontal="centerContinuous"/>
    </xf>
    <xf numFmtId="0" fontId="0" fillId="2" borderId="1" xfId="0" applyFill="1" applyBorder="1" applyAlignment="1">
      <alignment horizontal="right"/>
    </xf>
    <xf numFmtId="0" fontId="0" fillId="2" borderId="1" xfId="0" applyFont="1" applyFill="1" applyBorder="1" applyAlignment="1">
      <alignment horizontal="right" wrapText="1"/>
    </xf>
    <xf numFmtId="0" fontId="0" fillId="2" borderId="43" xfId="0" applyFill="1" applyBorder="1" applyAlignment="1" quotePrefix="1">
      <alignment horizontal="left"/>
    </xf>
    <xf numFmtId="0" fontId="0" fillId="5" borderId="0" xfId="0" applyFill="1" applyAlignment="1">
      <alignment/>
    </xf>
    <xf numFmtId="193" fontId="0" fillId="5" borderId="0" xfId="0" applyNumberFormat="1" applyFill="1" applyAlignment="1">
      <alignment/>
    </xf>
    <xf numFmtId="0" fontId="0" fillId="5" borderId="0" xfId="0" applyFill="1" applyAlignment="1" quotePrefix="1">
      <alignment horizontal="left"/>
    </xf>
    <xf numFmtId="0" fontId="0" fillId="5" borderId="0" xfId="0" applyFill="1" applyAlignment="1">
      <alignment horizontal="center"/>
    </xf>
    <xf numFmtId="0" fontId="0" fillId="5" borderId="0" xfId="0" applyFill="1" applyAlignment="1" quotePrefix="1">
      <alignment horizontal="left" vertical="center" wrapText="1"/>
    </xf>
    <xf numFmtId="0" fontId="0" fillId="5" borderId="0" xfId="0" applyFill="1" applyBorder="1" applyAlignment="1">
      <alignment/>
    </xf>
    <xf numFmtId="169" fontId="0" fillId="3" borderId="1" xfId="15" applyNumberFormat="1" applyFill="1" applyBorder="1" applyAlignment="1" applyProtection="1">
      <alignment/>
      <protection locked="0"/>
    </xf>
    <xf numFmtId="169" fontId="0" fillId="3" borderId="1" xfId="15" applyNumberFormat="1" applyFill="1" applyBorder="1" applyAlignment="1" applyProtection="1">
      <alignment horizontal="right"/>
      <protection locked="0"/>
    </xf>
    <xf numFmtId="0" fontId="9" fillId="2" borderId="1" xfId="0" applyFont="1" applyFill="1" applyBorder="1" applyAlignment="1">
      <alignment/>
    </xf>
    <xf numFmtId="0" fontId="9" fillId="2" borderId="1" xfId="0" applyFont="1" applyFill="1" applyBorder="1" applyAlignment="1">
      <alignment horizontal="center"/>
    </xf>
    <xf numFmtId="0" fontId="9" fillId="2" borderId="1" xfId="0" applyFont="1" applyFill="1" applyBorder="1" applyAlignment="1" quotePrefix="1">
      <alignment horizontal="center"/>
    </xf>
    <xf numFmtId="0" fontId="9" fillId="2" borderId="78" xfId="0" applyFont="1" applyFill="1" applyBorder="1" applyAlignment="1" quotePrefix="1">
      <alignment horizontal="left"/>
    </xf>
    <xf numFmtId="0" fontId="38" fillId="2" borderId="40" xfId="0" applyFont="1" applyFill="1" applyBorder="1" applyAlignment="1">
      <alignment/>
    </xf>
    <xf numFmtId="0" fontId="38" fillId="2" borderId="1" xfId="0" applyFont="1" applyFill="1" applyBorder="1" applyAlignment="1">
      <alignment horizontal="center" vertical="center" wrapText="1"/>
    </xf>
    <xf numFmtId="0" fontId="40" fillId="2" borderId="39" xfId="0" applyFont="1" applyFill="1" applyBorder="1" applyAlignment="1">
      <alignment/>
    </xf>
    <xf numFmtId="0" fontId="40" fillId="2" borderId="16" xfId="0" applyFont="1" applyFill="1" applyBorder="1" applyAlignment="1">
      <alignment/>
    </xf>
    <xf numFmtId="0" fontId="11" fillId="3" borderId="31" xfId="0" applyFont="1" applyFill="1" applyBorder="1" applyAlignment="1">
      <alignment horizontal="center"/>
    </xf>
    <xf numFmtId="193" fontId="9" fillId="2" borderId="79" xfId="15" applyNumberFormat="1" applyFont="1" applyFill="1" applyBorder="1" applyAlignment="1">
      <alignment/>
    </xf>
    <xf numFmtId="169" fontId="0" fillId="2" borderId="0" xfId="0" applyNumberFormat="1" applyFill="1" applyAlignment="1">
      <alignment horizontal="center"/>
    </xf>
    <xf numFmtId="193" fontId="0" fillId="2" borderId="0" xfId="15" applyNumberFormat="1" applyFill="1" applyAlignment="1">
      <alignment horizontal="center"/>
    </xf>
    <xf numFmtId="0" fontId="18" fillId="2" borderId="1" xfId="0" applyFont="1" applyFill="1" applyBorder="1" applyAlignment="1">
      <alignment horizontal="centerContinuous" vertical="center"/>
    </xf>
    <xf numFmtId="0" fontId="18" fillId="2" borderId="1" xfId="0" applyFont="1" applyFill="1" applyBorder="1" applyAlignment="1" quotePrefix="1">
      <alignment horizontal="center" wrapText="1"/>
    </xf>
    <xf numFmtId="0" fontId="41" fillId="2" borderId="1" xfId="0" applyFont="1" applyFill="1" applyBorder="1" applyAlignment="1">
      <alignment/>
    </xf>
    <xf numFmtId="0" fontId="41" fillId="2" borderId="1" xfId="0" applyFont="1" applyFill="1" applyBorder="1" applyAlignment="1" quotePrefix="1">
      <alignment horizontal="left"/>
    </xf>
    <xf numFmtId="17" fontId="41" fillId="2" borderId="1" xfId="0" applyNumberFormat="1" applyFont="1" applyFill="1" applyBorder="1" applyAlignment="1" quotePrefix="1">
      <alignment horizontal="center"/>
    </xf>
    <xf numFmtId="0" fontId="0" fillId="2" borderId="0" xfId="0" applyFill="1" applyBorder="1" applyAlignment="1" quotePrefix="1">
      <alignment horizontal="center" vertical="center" wrapText="1"/>
    </xf>
    <xf numFmtId="0" fontId="18" fillId="2" borderId="0" xfId="0" applyFont="1" applyFill="1" applyBorder="1" applyAlignment="1" quotePrefix="1">
      <alignment horizontal="center" vertical="center" wrapText="1"/>
    </xf>
    <xf numFmtId="0" fontId="1" fillId="2" borderId="0" xfId="0" applyFont="1" applyFill="1" applyBorder="1" applyAlignment="1" quotePrefix="1">
      <alignment horizontal="center" vertical="center" wrapText="1"/>
    </xf>
    <xf numFmtId="0" fontId="0" fillId="2" borderId="34" xfId="0" applyFill="1" applyBorder="1" applyAlignment="1" quotePrefix="1">
      <alignment horizontal="center" vertical="center" wrapText="1"/>
    </xf>
    <xf numFmtId="0" fontId="0" fillId="2" borderId="11" xfId="0" applyFill="1" applyBorder="1" applyAlignment="1" quotePrefix="1">
      <alignment horizontal="center" vertical="center" wrapText="1"/>
    </xf>
    <xf numFmtId="0" fontId="0" fillId="2" borderId="14" xfId="0" applyFill="1" applyBorder="1" applyAlignment="1" quotePrefix="1">
      <alignment horizontal="center" vertical="center" wrapText="1"/>
    </xf>
    <xf numFmtId="0" fontId="0" fillId="2" borderId="2" xfId="0" applyFill="1" applyBorder="1" applyAlignment="1" quotePrefix="1">
      <alignment horizontal="center" vertical="center" wrapText="1"/>
    </xf>
    <xf numFmtId="0" fontId="0" fillId="2" borderId="33" xfId="0" applyFill="1" applyBorder="1" applyAlignment="1" quotePrefix="1">
      <alignment horizontal="center" vertical="center" wrapText="1"/>
    </xf>
    <xf numFmtId="0" fontId="0" fillId="2" borderId="21" xfId="0" applyFill="1" applyBorder="1" applyAlignment="1" quotePrefix="1">
      <alignment horizontal="center" vertical="center" wrapText="1"/>
    </xf>
    <xf numFmtId="0" fontId="1" fillId="2" borderId="21" xfId="0" applyFont="1" applyFill="1" applyBorder="1" applyAlignment="1">
      <alignment horizontal="left" vertical="center" wrapText="1"/>
    </xf>
    <xf numFmtId="0" fontId="0" fillId="2" borderId="3" xfId="0" applyFill="1" applyBorder="1" applyAlignment="1" quotePrefix="1">
      <alignment horizontal="center" vertical="center" wrapText="1"/>
    </xf>
    <xf numFmtId="0" fontId="1" fillId="2" borderId="7" xfId="0" applyFont="1" applyFill="1" applyBorder="1" applyAlignment="1" applyProtection="1">
      <alignment horizontal="right" wrapText="1"/>
      <protection/>
    </xf>
    <xf numFmtId="0" fontId="1" fillId="2" borderId="8" xfId="0" applyFont="1" applyFill="1" applyBorder="1" applyAlignment="1" applyProtection="1">
      <alignment horizontal="right" wrapText="1"/>
      <protection/>
    </xf>
    <xf numFmtId="173" fontId="0" fillId="2" borderId="2" xfId="0" applyNumberFormat="1" applyFill="1" applyBorder="1" applyAlignment="1" applyProtection="1">
      <alignment horizontal="center"/>
      <protection locked="0"/>
    </xf>
    <xf numFmtId="14" fontId="0" fillId="2" borderId="2" xfId="0" applyNumberFormat="1" applyFill="1" applyBorder="1" applyAlignment="1" applyProtection="1">
      <alignment/>
      <protection locked="0"/>
    </xf>
    <xf numFmtId="10" fontId="0" fillId="2" borderId="2" xfId="0" applyNumberFormat="1" applyFill="1" applyBorder="1" applyAlignment="1" applyProtection="1">
      <alignment horizontal="center"/>
      <protection locked="0"/>
    </xf>
    <xf numFmtId="1" fontId="0" fillId="2" borderId="36" xfId="0" applyNumberFormat="1" applyFill="1" applyBorder="1" applyAlignment="1" applyProtection="1">
      <alignment horizontal="center"/>
      <protection locked="0"/>
    </xf>
    <xf numFmtId="0" fontId="1" fillId="2" borderId="0" xfId="0" applyFont="1" applyFill="1" applyBorder="1" applyAlignment="1" applyProtection="1">
      <alignment horizontal="centerContinuous"/>
      <protection/>
    </xf>
    <xf numFmtId="169" fontId="0" fillId="3" borderId="80" xfId="0" applyNumberFormat="1" applyFill="1" applyBorder="1" applyAlignment="1" applyProtection="1">
      <alignment/>
      <protection locked="0"/>
    </xf>
    <xf numFmtId="169" fontId="0" fillId="3" borderId="81" xfId="0" applyNumberFormat="1" applyFill="1" applyBorder="1" applyAlignment="1" applyProtection="1">
      <alignment/>
      <protection locked="0"/>
    </xf>
    <xf numFmtId="185" fontId="0" fillId="3" borderId="72" xfId="15" applyFill="1" applyBorder="1" applyAlignment="1" applyProtection="1">
      <alignment/>
      <protection locked="0"/>
    </xf>
    <xf numFmtId="169" fontId="0" fillId="3" borderId="82" xfId="0" applyNumberFormat="1" applyFont="1" applyFill="1" applyBorder="1" applyAlignment="1" applyProtection="1" quotePrefix="1">
      <alignment wrapText="1"/>
      <protection locked="0"/>
    </xf>
    <xf numFmtId="169" fontId="0" fillId="3" borderId="82" xfId="0" applyNumberFormat="1" applyFont="1" applyFill="1" applyBorder="1" applyAlignment="1" applyProtection="1">
      <alignment/>
      <protection locked="0"/>
    </xf>
    <xf numFmtId="169" fontId="0" fillId="3" borderId="83" xfId="0" applyNumberFormat="1" applyFont="1" applyFill="1" applyBorder="1" applyAlignment="1" applyProtection="1" quotePrefix="1">
      <alignment wrapText="1"/>
      <protection locked="0"/>
    </xf>
    <xf numFmtId="169" fontId="0" fillId="3" borderId="83" xfId="0" applyNumberFormat="1" applyFont="1" applyFill="1" applyBorder="1" applyAlignment="1" applyProtection="1">
      <alignment/>
      <protection locked="0"/>
    </xf>
    <xf numFmtId="169" fontId="0" fillId="3" borderId="82" xfId="0" applyNumberFormat="1" applyFont="1" applyFill="1" applyBorder="1" applyAlignment="1" applyProtection="1">
      <alignment horizontal="right"/>
      <protection locked="0"/>
    </xf>
    <xf numFmtId="169" fontId="0" fillId="3" borderId="72" xfId="0" applyNumberFormat="1" applyFont="1" applyFill="1" applyBorder="1" applyAlignment="1" applyProtection="1">
      <alignment horizontal="right"/>
      <protection locked="0"/>
    </xf>
    <xf numFmtId="169" fontId="0" fillId="3" borderId="84" xfId="0" applyNumberFormat="1" applyFont="1" applyFill="1" applyBorder="1" applyAlignment="1" applyProtection="1">
      <alignment horizontal="right"/>
      <protection locked="0"/>
    </xf>
    <xf numFmtId="169" fontId="0" fillId="3" borderId="84" xfId="0" applyNumberFormat="1" applyFill="1" applyBorder="1" applyAlignment="1">
      <alignment/>
    </xf>
    <xf numFmtId="169" fontId="0" fillId="3" borderId="82" xfId="0" applyNumberFormat="1" applyFill="1" applyBorder="1" applyAlignment="1">
      <alignment/>
    </xf>
    <xf numFmtId="169" fontId="0" fillId="3" borderId="72" xfId="0" applyNumberFormat="1" applyFill="1" applyBorder="1" applyAlignment="1">
      <alignment/>
    </xf>
    <xf numFmtId="169" fontId="11" fillId="3" borderId="4" xfId="15" applyNumberFormat="1" applyFont="1" applyFill="1" applyBorder="1" applyAlignment="1" applyProtection="1">
      <alignment/>
      <protection locked="0"/>
    </xf>
    <xf numFmtId="169" fontId="11" fillId="3" borderId="4" xfId="0" applyNumberFormat="1" applyFont="1" applyFill="1" applyBorder="1" applyAlignment="1" applyProtection="1">
      <alignment/>
      <protection locked="0"/>
    </xf>
    <xf numFmtId="169" fontId="11" fillId="3" borderId="82" xfId="15" applyNumberFormat="1" applyFont="1" applyFill="1" applyBorder="1" applyAlignment="1" applyProtection="1">
      <alignment/>
      <protection locked="0"/>
    </xf>
    <xf numFmtId="169" fontId="11" fillId="3" borderId="82" xfId="0" applyNumberFormat="1" applyFont="1" applyFill="1" applyBorder="1" applyAlignment="1" applyProtection="1">
      <alignment/>
      <protection locked="0"/>
    </xf>
    <xf numFmtId="169" fontId="11" fillId="3" borderId="85" xfId="15" applyNumberFormat="1" applyFont="1" applyFill="1" applyBorder="1" applyAlignment="1" applyProtection="1">
      <alignment/>
      <protection locked="0"/>
    </xf>
    <xf numFmtId="169" fontId="11" fillId="3" borderId="85" xfId="0" applyNumberFormat="1" applyFont="1" applyFill="1" applyBorder="1" applyAlignment="1" applyProtection="1">
      <alignment/>
      <protection locked="0"/>
    </xf>
    <xf numFmtId="0" fontId="1" fillId="2" borderId="18" xfId="0" applyFont="1" applyFill="1" applyBorder="1" applyAlignment="1">
      <alignment horizontal="right"/>
    </xf>
    <xf numFmtId="0" fontId="1" fillId="2" borderId="19" xfId="0" applyFont="1" applyFill="1" applyBorder="1" applyAlignment="1">
      <alignment horizontal="right"/>
    </xf>
    <xf numFmtId="182" fontId="18" fillId="2" borderId="44" xfId="0" applyNumberFormat="1" applyFont="1" applyFill="1" applyBorder="1" applyAlignment="1">
      <alignment/>
    </xf>
    <xf numFmtId="182" fontId="39" fillId="2" borderId="86" xfId="0" applyNumberFormat="1" applyFont="1" applyFill="1" applyBorder="1" applyAlignment="1">
      <alignment/>
    </xf>
    <xf numFmtId="182" fontId="30" fillId="2" borderId="86" xfId="0" applyNumberFormat="1" applyFont="1" applyFill="1" applyBorder="1" applyAlignment="1">
      <alignment/>
    </xf>
    <xf numFmtId="15" fontId="25" fillId="3" borderId="87" xfId="0" applyNumberFormat="1" applyFont="1" applyFill="1" applyBorder="1" applyAlignment="1" applyProtection="1">
      <alignment horizontal="center"/>
      <protection locked="0"/>
    </xf>
    <xf numFmtId="169" fontId="0" fillId="3" borderId="31" xfId="0" applyNumberFormat="1" applyFill="1" applyBorder="1" applyAlignment="1" applyProtection="1">
      <alignment/>
      <protection locked="0"/>
    </xf>
    <xf numFmtId="0" fontId="1" fillId="2" borderId="9" xfId="0" applyFont="1" applyFill="1" applyBorder="1" applyAlignment="1" applyProtection="1">
      <alignment horizontal="right"/>
      <protection locked="0"/>
    </xf>
    <xf numFmtId="0" fontId="0" fillId="2" borderId="88" xfId="0" applyFill="1" applyBorder="1" applyAlignment="1">
      <alignment horizontal="centerContinuous"/>
    </xf>
    <xf numFmtId="0" fontId="42" fillId="3" borderId="87" xfId="0" applyFont="1" applyFill="1" applyBorder="1" applyAlignment="1" applyProtection="1">
      <alignment horizontal="center"/>
      <protection locked="0"/>
    </xf>
    <xf numFmtId="0" fontId="5" fillId="2" borderId="0" xfId="0" applyFont="1" applyFill="1" applyBorder="1" applyAlignment="1" applyProtection="1">
      <alignment horizontal="centerContinuous"/>
      <protection/>
    </xf>
    <xf numFmtId="183" fontId="5" fillId="2" borderId="0" xfId="0" applyNumberFormat="1" applyFont="1" applyFill="1" applyBorder="1" applyAlignment="1" applyProtection="1">
      <alignment horizontal="left"/>
      <protection/>
    </xf>
    <xf numFmtId="14" fontId="0" fillId="2" borderId="0" xfId="0" applyNumberFormat="1" applyFont="1" applyFill="1" applyBorder="1" applyAlignment="1" applyProtection="1">
      <alignment horizontal="left"/>
      <protection/>
    </xf>
    <xf numFmtId="183" fontId="0" fillId="2" borderId="0" xfId="0" applyNumberFormat="1" applyFont="1" applyFill="1" applyBorder="1" applyAlignment="1" applyProtection="1">
      <alignment horizontal="left"/>
      <protection/>
    </xf>
    <xf numFmtId="14" fontId="0" fillId="2" borderId="0" xfId="0" applyNumberFormat="1" applyFont="1" applyFill="1" applyBorder="1" applyAlignment="1" applyProtection="1">
      <alignment/>
      <protection/>
    </xf>
    <xf numFmtId="0" fontId="25" fillId="2" borderId="14" xfId="0" applyFont="1" applyFill="1" applyBorder="1" applyAlignment="1" applyProtection="1">
      <alignment horizontal="center" vertical="center" wrapText="1"/>
      <protection/>
    </xf>
    <xf numFmtId="183" fontId="0" fillId="2" borderId="1" xfId="0" applyNumberFormat="1" applyFont="1" applyFill="1" applyBorder="1" applyAlignment="1" applyProtection="1">
      <alignment horizontal="center" wrapText="1"/>
      <protection/>
    </xf>
    <xf numFmtId="14" fontId="0" fillId="2" borderId="0" xfId="0" applyNumberFormat="1" applyFont="1" applyFill="1" applyBorder="1" applyAlignment="1" applyProtection="1">
      <alignment horizontal="center"/>
      <protection/>
    </xf>
    <xf numFmtId="0" fontId="9" fillId="2" borderId="12" xfId="0" applyFont="1" applyFill="1" applyBorder="1" applyAlignment="1" applyProtection="1">
      <alignment horizontal="left"/>
      <protection/>
    </xf>
    <xf numFmtId="183" fontId="0" fillId="2" borderId="3" xfId="0" applyNumberFormat="1" applyFont="1" applyFill="1" applyBorder="1" applyAlignment="1" applyProtection="1">
      <alignment horizontal="right"/>
      <protection/>
    </xf>
    <xf numFmtId="0" fontId="1" fillId="2" borderId="36" xfId="0" applyFont="1" applyFill="1" applyBorder="1" applyAlignment="1" applyProtection="1">
      <alignment horizontal="right"/>
      <protection/>
    </xf>
    <xf numFmtId="183" fontId="0" fillId="3" borderId="89" xfId="0" applyNumberFormat="1" applyFont="1" applyFill="1" applyBorder="1" applyAlignment="1" applyProtection="1">
      <alignment horizontal="left"/>
      <protection locked="0"/>
    </xf>
    <xf numFmtId="183" fontId="0" fillId="2" borderId="3" xfId="15" applyNumberFormat="1" applyFont="1" applyFill="1" applyBorder="1" applyAlignment="1" applyProtection="1">
      <alignment horizontal="right"/>
      <protection/>
    </xf>
    <xf numFmtId="0" fontId="1" fillId="2" borderId="36" xfId="0" applyFont="1" applyFill="1" applyBorder="1" applyAlignment="1" applyProtection="1">
      <alignment horizontal="right" vertical="center"/>
      <protection/>
    </xf>
    <xf numFmtId="183" fontId="0" fillId="2" borderId="3" xfId="15" applyNumberFormat="1" applyFont="1" applyFill="1" applyBorder="1" applyAlignment="1" applyProtection="1">
      <alignment horizontal="left"/>
      <protection/>
    </xf>
    <xf numFmtId="187" fontId="0" fillId="2" borderId="0" xfId="15" applyNumberFormat="1" applyFont="1" applyFill="1" applyBorder="1" applyAlignment="1" applyProtection="1">
      <alignment horizontal="left"/>
      <protection/>
    </xf>
    <xf numFmtId="0" fontId="1" fillId="2" borderId="13" xfId="0" applyFont="1" applyFill="1" applyBorder="1" applyAlignment="1" applyProtection="1">
      <alignment horizontal="right"/>
      <protection/>
    </xf>
    <xf numFmtId="183" fontId="0" fillId="3" borderId="84" xfId="15" applyNumberFormat="1" applyFont="1" applyFill="1" applyBorder="1" applyAlignment="1" applyProtection="1">
      <alignment horizontal="left"/>
      <protection locked="0"/>
    </xf>
    <xf numFmtId="183" fontId="0" fillId="2" borderId="4" xfId="15" applyNumberFormat="1" applyFont="1" applyFill="1" applyBorder="1" applyAlignment="1" applyProtection="1">
      <alignment horizontal="left"/>
      <protection/>
    </xf>
    <xf numFmtId="187" fontId="0" fillId="2" borderId="90" xfId="15" applyNumberFormat="1" applyFont="1" applyFill="1" applyBorder="1" applyAlignment="1" applyProtection="1">
      <alignment horizontal="left"/>
      <protection/>
    </xf>
    <xf numFmtId="0" fontId="0" fillId="0" borderId="36" xfId="0" applyBorder="1" applyAlignment="1">
      <alignment/>
    </xf>
    <xf numFmtId="0" fontId="9" fillId="2" borderId="36" xfId="0" applyFont="1" applyFill="1" applyBorder="1" applyAlignment="1" applyProtection="1">
      <alignment horizontal="left"/>
      <protection/>
    </xf>
    <xf numFmtId="0" fontId="1" fillId="2" borderId="36" xfId="0" applyFont="1" applyFill="1" applyBorder="1" applyAlignment="1" applyProtection="1">
      <alignment horizontal="left"/>
      <protection/>
    </xf>
    <xf numFmtId="183" fontId="0" fillId="2" borderId="2" xfId="0" applyNumberFormat="1" applyFont="1" applyFill="1" applyBorder="1" applyAlignment="1" applyProtection="1">
      <alignment horizontal="center" wrapText="1"/>
      <protection/>
    </xf>
    <xf numFmtId="183" fontId="0" fillId="2" borderId="3" xfId="0" applyNumberFormat="1" applyFont="1" applyFill="1" applyBorder="1" applyAlignment="1" applyProtection="1">
      <alignment horizontal="left"/>
      <protection/>
    </xf>
    <xf numFmtId="183" fontId="0" fillId="2" borderId="3" xfId="0" applyNumberFormat="1" applyFont="1" applyFill="1" applyBorder="1" applyAlignment="1" applyProtection="1">
      <alignment horizontal="left"/>
      <protection locked="0"/>
    </xf>
    <xf numFmtId="183" fontId="0" fillId="2" borderId="4" xfId="0" applyNumberFormat="1" applyFont="1" applyFill="1" applyBorder="1" applyAlignment="1" applyProtection="1">
      <alignment horizontal="left"/>
      <protection/>
    </xf>
    <xf numFmtId="183" fontId="0" fillId="2" borderId="0" xfId="15" applyNumberFormat="1" applyFont="1" applyFill="1" applyBorder="1" applyAlignment="1" applyProtection="1">
      <alignment horizontal="left"/>
      <protection locked="0"/>
    </xf>
    <xf numFmtId="0" fontId="9" fillId="2" borderId="0" xfId="0" applyFont="1" applyFill="1" applyBorder="1" applyAlignment="1" applyProtection="1">
      <alignment horizontal="left"/>
      <protection/>
    </xf>
    <xf numFmtId="0" fontId="1" fillId="2" borderId="12" xfId="0" applyFont="1" applyFill="1" applyBorder="1" applyAlignment="1" applyProtection="1">
      <alignment horizontal="right" vertical="center"/>
      <protection/>
    </xf>
    <xf numFmtId="183" fontId="0" fillId="3" borderId="2" xfId="0" applyNumberFormat="1" applyFont="1" applyFill="1" applyBorder="1" applyAlignment="1" applyProtection="1">
      <alignment horizontal="left"/>
      <protection locked="0"/>
    </xf>
    <xf numFmtId="183" fontId="0" fillId="2" borderId="2" xfId="0" applyNumberFormat="1" applyFont="1" applyFill="1" applyBorder="1" applyAlignment="1" applyProtection="1">
      <alignment horizontal="left"/>
      <protection/>
    </xf>
    <xf numFmtId="185" fontId="1" fillId="2" borderId="36" xfId="0" applyNumberFormat="1" applyFont="1" applyFill="1" applyBorder="1" applyAlignment="1" applyProtection="1">
      <alignment horizontal="right"/>
      <protection/>
    </xf>
    <xf numFmtId="183" fontId="0" fillId="2" borderId="84" xfId="0" applyNumberFormat="1" applyFont="1" applyFill="1" applyBorder="1" applyAlignment="1" applyProtection="1">
      <alignment horizontal="left"/>
      <protection/>
    </xf>
    <xf numFmtId="183" fontId="0" fillId="3" borderId="84" xfId="0" applyNumberFormat="1" applyFont="1" applyFill="1" applyBorder="1" applyAlignment="1" applyProtection="1">
      <alignment horizontal="left"/>
      <protection locked="0"/>
    </xf>
    <xf numFmtId="0" fontId="1" fillId="2" borderId="3" xfId="0" applyFont="1" applyFill="1" applyBorder="1" applyAlignment="1" applyProtection="1">
      <alignment horizontal="left"/>
      <protection/>
    </xf>
    <xf numFmtId="185" fontId="0" fillId="2" borderId="0" xfId="0" applyNumberFormat="1" applyFont="1" applyFill="1" applyBorder="1" applyAlignment="1" applyProtection="1">
      <alignment horizontal="left"/>
      <protection/>
    </xf>
    <xf numFmtId="183" fontId="0" fillId="2" borderId="2" xfId="0" applyNumberFormat="1" applyFont="1" applyFill="1" applyBorder="1" applyAlignment="1" applyProtection="1">
      <alignment horizontal="left"/>
      <protection locked="0"/>
    </xf>
    <xf numFmtId="183" fontId="0" fillId="2" borderId="2" xfId="0" applyNumberFormat="1" applyFont="1" applyFill="1" applyBorder="1" applyAlignment="1" applyProtection="1">
      <alignment horizontal="right"/>
      <protection/>
    </xf>
    <xf numFmtId="185" fontId="0" fillId="2" borderId="90" xfId="15" applyFont="1" applyFill="1" applyBorder="1" applyAlignment="1" applyProtection="1">
      <alignment horizontal="left"/>
      <protection/>
    </xf>
    <xf numFmtId="0" fontId="1" fillId="2" borderId="91" xfId="0" applyFont="1" applyFill="1" applyBorder="1" applyAlignment="1" applyProtection="1">
      <alignment horizontal="right"/>
      <protection/>
    </xf>
    <xf numFmtId="183" fontId="0" fillId="2" borderId="22" xfId="0" applyNumberFormat="1" applyFont="1" applyFill="1" applyBorder="1" applyAlignment="1" applyProtection="1">
      <alignment horizontal="left"/>
      <protection/>
    </xf>
    <xf numFmtId="183" fontId="0" fillId="3" borderId="76" xfId="0" applyNumberFormat="1" applyFont="1" applyFill="1" applyBorder="1" applyAlignment="1" applyProtection="1">
      <alignment horizontal="left"/>
      <protection locked="0"/>
    </xf>
    <xf numFmtId="183" fontId="0" fillId="2" borderId="0" xfId="0" applyNumberFormat="1" applyFont="1" applyFill="1" applyBorder="1" applyAlignment="1" applyProtection="1">
      <alignment horizontal="left"/>
      <protection locked="0"/>
    </xf>
    <xf numFmtId="185" fontId="0" fillId="2" borderId="0" xfId="15" applyFont="1" applyFill="1" applyBorder="1" applyAlignment="1" applyProtection="1">
      <alignment horizontal="left"/>
      <protection/>
    </xf>
    <xf numFmtId="0" fontId="25" fillId="2" borderId="0" xfId="0" applyFont="1" applyFill="1" applyBorder="1" applyAlignment="1" applyProtection="1">
      <alignment horizontal="center" vertical="center"/>
      <protection/>
    </xf>
    <xf numFmtId="0" fontId="1" fillId="2" borderId="2" xfId="0" applyFont="1" applyFill="1" applyBorder="1" applyAlignment="1" applyProtection="1">
      <alignment horizontal="right" vertical="center"/>
      <protection/>
    </xf>
    <xf numFmtId="183" fontId="0" fillId="3" borderId="82" xfId="0" applyNumberFormat="1" applyFont="1" applyFill="1" applyBorder="1" applyAlignment="1" applyProtection="1">
      <alignment horizontal="left"/>
      <protection locked="0"/>
    </xf>
    <xf numFmtId="0" fontId="1" fillId="2" borderId="22" xfId="0" applyFont="1" applyFill="1" applyBorder="1" applyAlignment="1" applyProtection="1">
      <alignment horizontal="right" vertical="center"/>
      <protection/>
    </xf>
    <xf numFmtId="183" fontId="0" fillId="3" borderId="22" xfId="0" applyNumberFormat="1" applyFont="1" applyFill="1" applyBorder="1" applyAlignment="1" applyProtection="1">
      <alignment horizontal="left"/>
      <protection locked="0"/>
    </xf>
    <xf numFmtId="183" fontId="0" fillId="2" borderId="90" xfId="0" applyNumberFormat="1" applyFont="1" applyFill="1" applyBorder="1" applyAlignment="1" applyProtection="1">
      <alignment horizontal="left"/>
      <protection/>
    </xf>
    <xf numFmtId="0" fontId="1" fillId="2" borderId="0" xfId="0" applyFont="1" applyFill="1" applyBorder="1" applyAlignment="1" applyProtection="1">
      <alignment horizontal="right" vertical="center"/>
      <protection/>
    </xf>
    <xf numFmtId="0" fontId="25" fillId="2" borderId="0" xfId="0" applyFont="1" applyFill="1" applyBorder="1" applyAlignment="1" applyProtection="1">
      <alignment horizontal="center" vertical="justify" wrapText="1"/>
      <protection/>
    </xf>
    <xf numFmtId="183" fontId="0" fillId="2" borderId="2" xfId="0" applyNumberFormat="1" applyFont="1" applyFill="1" applyBorder="1" applyAlignment="1" applyProtection="1">
      <alignment horizontal="center" vertical="center"/>
      <protection/>
    </xf>
    <xf numFmtId="0" fontId="0" fillId="2" borderId="33" xfId="0" applyFill="1" applyBorder="1" applyAlignment="1">
      <alignment/>
    </xf>
    <xf numFmtId="183" fontId="0" fillId="2" borderId="1" xfId="0" applyNumberFormat="1" applyFont="1" applyFill="1" applyBorder="1" applyAlignment="1" applyProtection="1">
      <alignment horizontal="center" vertical="center"/>
      <protection/>
    </xf>
    <xf numFmtId="0" fontId="1" fillId="2" borderId="12" xfId="0" applyFont="1" applyFill="1" applyBorder="1" applyAlignment="1" applyProtection="1">
      <alignment horizontal="right"/>
      <protection/>
    </xf>
    <xf numFmtId="0" fontId="1" fillId="2" borderId="91" xfId="0" applyFont="1" applyFill="1" applyBorder="1" applyAlignment="1" applyProtection="1">
      <alignment horizontal="right" vertical="center"/>
      <protection/>
    </xf>
    <xf numFmtId="183" fontId="0" fillId="3" borderId="43" xfId="0" applyNumberFormat="1" applyFont="1" applyFill="1" applyBorder="1" applyAlignment="1" applyProtection="1">
      <alignment horizontal="left"/>
      <protection locked="0"/>
    </xf>
    <xf numFmtId="0" fontId="25" fillId="2" borderId="0" xfId="0" applyFont="1" applyFill="1" applyBorder="1" applyAlignment="1" applyProtection="1">
      <alignment horizontal="center" vertical="center" wrapText="1"/>
      <protection/>
    </xf>
    <xf numFmtId="183" fontId="0" fillId="2" borderId="2" xfId="0" applyNumberFormat="1" applyFont="1" applyFill="1" applyBorder="1" applyAlignment="1" applyProtection="1">
      <alignment horizontal="center"/>
      <protection/>
    </xf>
    <xf numFmtId="0" fontId="1" fillId="2" borderId="30" xfId="0" applyFont="1" applyFill="1" applyBorder="1" applyAlignment="1" applyProtection="1">
      <alignment horizontal="right" vertical="center"/>
      <protection/>
    </xf>
    <xf numFmtId="183" fontId="0" fillId="3" borderId="1" xfId="15" applyNumberFormat="1" applyFont="1" applyFill="1" applyBorder="1" applyAlignment="1" applyProtection="1">
      <alignment horizontal="left"/>
      <protection locked="0"/>
    </xf>
    <xf numFmtId="183" fontId="0" fillId="2" borderId="1" xfId="15" applyNumberFormat="1" applyFont="1" applyFill="1" applyBorder="1" applyAlignment="1" applyProtection="1">
      <alignment horizontal="left"/>
      <protection/>
    </xf>
    <xf numFmtId="0" fontId="0" fillId="2" borderId="0" xfId="0" applyFont="1" applyFill="1" applyBorder="1" applyAlignment="1" applyProtection="1">
      <alignment horizontal="left" vertical="center"/>
      <protection/>
    </xf>
    <xf numFmtId="0" fontId="1" fillId="2" borderId="50" xfId="0" applyFont="1" applyFill="1" applyBorder="1" applyAlignment="1" applyProtection="1">
      <alignment horizontal="right" vertical="center"/>
      <protection/>
    </xf>
    <xf numFmtId="183" fontId="0" fillId="3" borderId="43" xfId="15" applyNumberFormat="1" applyFont="1" applyFill="1" applyBorder="1" applyAlignment="1" applyProtection="1">
      <alignment horizontal="left"/>
      <protection locked="0"/>
    </xf>
    <xf numFmtId="183" fontId="0" fillId="2" borderId="43" xfId="15" applyNumberFormat="1" applyFont="1" applyFill="1" applyBorder="1" applyAlignment="1" applyProtection="1">
      <alignment horizontal="left"/>
      <protection/>
    </xf>
    <xf numFmtId="183" fontId="0" fillId="2" borderId="0" xfId="15" applyNumberFormat="1" applyFont="1" applyFill="1" applyBorder="1" applyAlignment="1" applyProtection="1">
      <alignment horizontal="left"/>
      <protection/>
    </xf>
    <xf numFmtId="0" fontId="44" fillId="0" borderId="31" xfId="0" applyFont="1" applyBorder="1" applyAlignment="1">
      <alignment horizontal="center"/>
    </xf>
    <xf numFmtId="183" fontId="0" fillId="2" borderId="33" xfId="0" applyNumberFormat="1" applyFont="1" applyFill="1" applyBorder="1" applyAlignment="1" applyProtection="1">
      <alignment horizontal="center" wrapText="1"/>
      <protection/>
    </xf>
    <xf numFmtId="0" fontId="9" fillId="2" borderId="3" xfId="0" applyFont="1" applyFill="1" applyBorder="1" applyAlignment="1" applyProtection="1">
      <alignment horizontal="left"/>
      <protection/>
    </xf>
    <xf numFmtId="0" fontId="0" fillId="2" borderId="33" xfId="0" applyFont="1" applyFill="1" applyBorder="1" applyAlignment="1" applyProtection="1">
      <alignment horizontal="left"/>
      <protection/>
    </xf>
    <xf numFmtId="0" fontId="0" fillId="2" borderId="2" xfId="0" applyFill="1" applyBorder="1" applyAlignment="1" applyProtection="1">
      <alignment/>
      <protection/>
    </xf>
    <xf numFmtId="0" fontId="1" fillId="2" borderId="13" xfId="0" applyFont="1" applyFill="1" applyBorder="1" applyAlignment="1" applyProtection="1">
      <alignment horizontal="right" vertical="center"/>
      <protection/>
    </xf>
    <xf numFmtId="183" fontId="0" fillId="2" borderId="1" xfId="0" applyNumberFormat="1" applyFont="1" applyFill="1" applyBorder="1" applyAlignment="1" applyProtection="1">
      <alignment horizontal="left"/>
      <protection/>
    </xf>
    <xf numFmtId="0" fontId="9" fillId="2" borderId="36" xfId="0" applyFont="1" applyFill="1" applyBorder="1" applyAlignment="1" applyProtection="1">
      <alignment horizontal="left"/>
      <protection/>
    </xf>
    <xf numFmtId="183" fontId="0" fillId="2" borderId="33" xfId="0" applyNumberFormat="1" applyFont="1" applyFill="1" applyBorder="1" applyAlignment="1" applyProtection="1">
      <alignment horizontal="left"/>
      <protection/>
    </xf>
    <xf numFmtId="0" fontId="9" fillId="2" borderId="36" xfId="0" applyFont="1" applyFill="1" applyBorder="1" applyAlignment="1" applyProtection="1">
      <alignment horizontal="left" vertical="center" wrapText="1"/>
      <protection/>
    </xf>
    <xf numFmtId="0" fontId="0" fillId="2" borderId="92" xfId="0" applyFont="1" applyFill="1" applyBorder="1" applyAlignment="1" applyProtection="1">
      <alignment horizontal="left"/>
      <protection/>
    </xf>
    <xf numFmtId="0" fontId="0" fillId="2" borderId="34" xfId="0" applyFont="1" applyFill="1" applyBorder="1" applyAlignment="1" applyProtection="1">
      <alignment horizontal="left"/>
      <protection/>
    </xf>
    <xf numFmtId="183" fontId="0" fillId="3" borderId="76" xfId="15" applyNumberFormat="1" applyFont="1" applyFill="1" applyBorder="1" applyAlignment="1" applyProtection="1">
      <alignment horizontal="left"/>
      <protection locked="0"/>
    </xf>
    <xf numFmtId="183" fontId="0" fillId="3" borderId="89" xfId="15" applyNumberFormat="1" applyFont="1" applyFill="1" applyBorder="1" applyAlignment="1" applyProtection="1">
      <alignment horizontal="left"/>
      <protection locked="0"/>
    </xf>
    <xf numFmtId="0" fontId="44" fillId="2" borderId="31" xfId="0" applyFont="1" applyFill="1" applyBorder="1" applyAlignment="1" applyProtection="1">
      <alignment horizontal="center"/>
      <protection/>
    </xf>
    <xf numFmtId="0" fontId="0" fillId="0" borderId="17" xfId="0" applyBorder="1" applyAlignment="1">
      <alignment/>
    </xf>
    <xf numFmtId="0" fontId="0" fillId="2" borderId="21" xfId="0" applyFont="1" applyFill="1" applyBorder="1" applyAlignment="1" applyProtection="1">
      <alignment horizontal="left"/>
      <protection/>
    </xf>
    <xf numFmtId="0" fontId="0" fillId="2" borderId="3" xfId="0" applyFill="1" applyBorder="1" applyAlignment="1" applyProtection="1">
      <alignment/>
      <protection/>
    </xf>
    <xf numFmtId="0" fontId="0" fillId="0" borderId="40" xfId="0" applyBorder="1" applyAlignment="1">
      <alignment/>
    </xf>
    <xf numFmtId="183" fontId="0" fillId="2" borderId="22" xfId="15" applyNumberFormat="1" applyFont="1" applyFill="1" applyBorder="1" applyAlignment="1" applyProtection="1">
      <alignment horizontal="left"/>
      <protection/>
    </xf>
    <xf numFmtId="0" fontId="25" fillId="2" borderId="0" xfId="0" applyFont="1" applyFill="1" applyBorder="1" applyAlignment="1" applyProtection="1">
      <alignment horizontal="center"/>
      <protection/>
    </xf>
    <xf numFmtId="183" fontId="0" fillId="2" borderId="1" xfId="15" applyNumberFormat="1" applyFont="1" applyFill="1" applyBorder="1" applyAlignment="1" applyProtection="1">
      <alignment horizontal="center" wrapText="1"/>
      <protection/>
    </xf>
    <xf numFmtId="185" fontId="1" fillId="2" borderId="50" xfId="0" applyNumberFormat="1" applyFont="1" applyFill="1" applyBorder="1" applyAlignment="1" applyProtection="1">
      <alignment horizontal="right"/>
      <protection/>
    </xf>
    <xf numFmtId="183" fontId="0" fillId="2" borderId="43" xfId="0" applyNumberFormat="1" applyFont="1" applyFill="1" applyBorder="1" applyAlignment="1" applyProtection="1">
      <alignment horizontal="left"/>
      <protection/>
    </xf>
    <xf numFmtId="185" fontId="0" fillId="2" borderId="90" xfId="0" applyNumberFormat="1" applyFont="1" applyFill="1" applyBorder="1" applyAlignment="1" applyProtection="1">
      <alignment horizontal="left"/>
      <protection/>
    </xf>
    <xf numFmtId="185" fontId="1" fillId="2" borderId="0" xfId="0" applyNumberFormat="1" applyFont="1" applyFill="1" applyBorder="1" applyAlignment="1" applyProtection="1">
      <alignment horizontal="right"/>
      <protection/>
    </xf>
    <xf numFmtId="183" fontId="0" fillId="2" borderId="11" xfId="0" applyNumberFormat="1" applyFont="1" applyFill="1" applyBorder="1" applyAlignment="1" applyProtection="1">
      <alignment horizontal="left"/>
      <protection locked="0"/>
    </xf>
    <xf numFmtId="183" fontId="0" fillId="2" borderId="11" xfId="0" applyNumberFormat="1" applyFont="1" applyFill="1" applyBorder="1" applyAlignment="1" applyProtection="1">
      <alignment horizontal="left"/>
      <protection/>
    </xf>
    <xf numFmtId="187" fontId="1" fillId="2" borderId="50" xfId="15" applyNumberFormat="1" applyFont="1" applyFill="1" applyBorder="1" applyAlignment="1" applyProtection="1">
      <alignment horizontal="right"/>
      <protection/>
    </xf>
    <xf numFmtId="187" fontId="1" fillId="2" borderId="11" xfId="15" applyNumberFormat="1" applyFont="1" applyFill="1" applyBorder="1" applyAlignment="1" applyProtection="1">
      <alignment horizontal="right"/>
      <protection/>
    </xf>
    <xf numFmtId="183" fontId="0" fillId="2" borderId="2" xfId="15" applyNumberFormat="1" applyFont="1" applyFill="1" applyBorder="1" applyAlignment="1" applyProtection="1">
      <alignment horizontal="center" wrapText="1"/>
      <protection locked="0"/>
    </xf>
    <xf numFmtId="183" fontId="0" fillId="2" borderId="1" xfId="15" applyNumberFormat="1" applyFont="1" applyFill="1" applyBorder="1" applyAlignment="1" applyProtection="1">
      <alignment horizontal="center"/>
      <protection/>
    </xf>
    <xf numFmtId="187" fontId="0" fillId="2" borderId="36" xfId="15" applyNumberFormat="1" applyFont="1" applyFill="1" applyBorder="1" applyAlignment="1" applyProtection="1">
      <alignment horizontal="left"/>
      <protection/>
    </xf>
    <xf numFmtId="0" fontId="25" fillId="2" borderId="1" xfId="0" applyFont="1" applyFill="1" applyBorder="1" applyAlignment="1" applyProtection="1">
      <alignment horizontal="center" vertical="center" wrapText="1"/>
      <protection/>
    </xf>
    <xf numFmtId="183" fontId="0" fillId="3" borderId="1" xfId="0" applyNumberFormat="1" applyFont="1" applyFill="1" applyBorder="1" applyAlignment="1" applyProtection="1">
      <alignment horizontal="right"/>
      <protection locked="0"/>
    </xf>
    <xf numFmtId="183" fontId="0" fillId="2" borderId="1" xfId="0" applyNumberFormat="1" applyFont="1" applyFill="1" applyBorder="1" applyAlignment="1" applyProtection="1">
      <alignment horizontal="right"/>
      <protection/>
    </xf>
    <xf numFmtId="0" fontId="1" fillId="2" borderId="0" xfId="0" applyFont="1" applyFill="1" applyBorder="1" applyAlignment="1" applyProtection="1">
      <alignment horizontal="center" vertical="center" wrapText="1"/>
      <protection/>
    </xf>
    <xf numFmtId="183" fontId="0" fillId="2" borderId="0" xfId="0" applyNumberFormat="1" applyFont="1" applyFill="1" applyBorder="1" applyAlignment="1" applyProtection="1">
      <alignment horizontal="right"/>
      <protection/>
    </xf>
    <xf numFmtId="0" fontId="23" fillId="2" borderId="17" xfId="0" applyFont="1" applyFill="1" applyBorder="1" applyAlignment="1" applyProtection="1">
      <alignment horizontal="right"/>
      <protection/>
    </xf>
    <xf numFmtId="183" fontId="45" fillId="2" borderId="31" xfId="0" applyNumberFormat="1" applyFont="1" applyFill="1" applyBorder="1" applyAlignment="1" applyProtection="1">
      <alignment horizontal="left"/>
      <protection/>
    </xf>
    <xf numFmtId="0" fontId="0" fillId="2" borderId="40" xfId="0" applyFont="1" applyFill="1" applyBorder="1" applyAlignment="1" applyProtection="1">
      <alignment horizontal="left"/>
      <protection/>
    </xf>
    <xf numFmtId="0" fontId="23" fillId="2" borderId="1" xfId="0" applyFont="1" applyFill="1" applyBorder="1" applyAlignment="1" applyProtection="1">
      <alignment horizontal="right" vertical="center"/>
      <protection/>
    </xf>
    <xf numFmtId="185" fontId="0" fillId="2" borderId="1" xfId="15" applyFont="1" applyFill="1" applyBorder="1" applyAlignment="1" applyProtection="1">
      <alignment horizontal="left"/>
      <protection/>
    </xf>
    <xf numFmtId="0" fontId="0" fillId="0" borderId="2" xfId="0" applyBorder="1" applyAlignment="1">
      <alignment/>
    </xf>
    <xf numFmtId="169" fontId="0" fillId="3" borderId="18" xfId="15" applyNumberFormat="1" applyFont="1" applyFill="1" applyBorder="1" applyAlignment="1" applyProtection="1">
      <alignment horizontal="left"/>
      <protection locked="0"/>
    </xf>
    <xf numFmtId="38" fontId="0" fillId="0" borderId="0" xfId="0" applyNumberFormat="1" applyAlignment="1">
      <alignment/>
    </xf>
    <xf numFmtId="38" fontId="0" fillId="2" borderId="0" xfId="0" applyNumberFormat="1" applyFill="1" applyAlignment="1">
      <alignment/>
    </xf>
    <xf numFmtId="38" fontId="13" fillId="2" borderId="1" xfId="0" applyNumberFormat="1" applyFont="1" applyFill="1" applyBorder="1" applyAlignment="1">
      <alignment horizontal="center" vertical="center" wrapText="1"/>
    </xf>
    <xf numFmtId="38" fontId="0" fillId="3" borderId="72" xfId="15" applyNumberFormat="1" applyFont="1" applyFill="1" applyBorder="1" applyAlignment="1" applyProtection="1">
      <alignment/>
      <protection locked="0"/>
    </xf>
    <xf numFmtId="207" fontId="0" fillId="2" borderId="0" xfId="0" applyNumberFormat="1" applyFill="1" applyAlignment="1">
      <alignment/>
    </xf>
    <xf numFmtId="2" fontId="0" fillId="0" borderId="0" xfId="0" applyNumberFormat="1" applyAlignment="1">
      <alignment/>
    </xf>
    <xf numFmtId="0" fontId="46" fillId="0" borderId="0" xfId="0" applyFont="1" applyAlignment="1">
      <alignment/>
    </xf>
    <xf numFmtId="2" fontId="46" fillId="0" borderId="0" xfId="0" applyNumberFormat="1" applyFont="1" applyAlignment="1">
      <alignment/>
    </xf>
    <xf numFmtId="38" fontId="4" fillId="0" borderId="0" xfId="0" applyNumberFormat="1" applyFont="1" applyAlignment="1">
      <alignment/>
    </xf>
    <xf numFmtId="38" fontId="0" fillId="3" borderId="3" xfId="15" applyNumberFormat="1" applyFill="1" applyBorder="1" applyAlignment="1" applyProtection="1">
      <alignment/>
      <protection locked="0"/>
    </xf>
    <xf numFmtId="38" fontId="0" fillId="2" borderId="0" xfId="0" applyNumberFormat="1" applyFill="1" applyAlignment="1">
      <alignment horizontal="centerContinuous"/>
    </xf>
    <xf numFmtId="38" fontId="13" fillId="2" borderId="1" xfId="0" applyNumberFormat="1" applyFont="1" applyFill="1" applyBorder="1" applyAlignment="1" quotePrefix="1">
      <alignment horizontal="center" vertical="center" wrapText="1"/>
    </xf>
    <xf numFmtId="38" fontId="0" fillId="2" borderId="0" xfId="19" applyNumberFormat="1" applyFill="1" applyAlignment="1">
      <alignment/>
    </xf>
    <xf numFmtId="38" fontId="0" fillId="2" borderId="1" xfId="0" applyNumberFormat="1" applyFill="1" applyBorder="1" applyAlignment="1">
      <alignment/>
    </xf>
    <xf numFmtId="38" fontId="0" fillId="2" borderId="0" xfId="0" applyNumberFormat="1" applyFill="1" applyBorder="1" applyAlignment="1">
      <alignment/>
    </xf>
    <xf numFmtId="38" fontId="0" fillId="2" borderId="34" xfId="0" applyNumberFormat="1" applyFill="1" applyBorder="1" applyAlignment="1">
      <alignment/>
    </xf>
    <xf numFmtId="38" fontId="0" fillId="2" borderId="16" xfId="0" applyNumberFormat="1" applyFill="1" applyBorder="1" applyAlignment="1">
      <alignment/>
    </xf>
    <xf numFmtId="38" fontId="0" fillId="2" borderId="1" xfId="0" applyNumberFormat="1" applyFill="1" applyBorder="1" applyAlignment="1">
      <alignment horizontal="center"/>
    </xf>
    <xf numFmtId="38" fontId="0" fillId="2" borderId="91" xfId="0" applyNumberFormat="1" applyFill="1" applyBorder="1" applyAlignment="1">
      <alignment/>
    </xf>
    <xf numFmtId="38" fontId="0" fillId="2" borderId="1" xfId="0" applyNumberFormat="1" applyFill="1" applyBorder="1" applyAlignment="1" quotePrefix="1">
      <alignment horizontal="center" vertical="center" wrapText="1"/>
    </xf>
    <xf numFmtId="40" fontId="0" fillId="2" borderId="93" xfId="0" applyNumberFormat="1" applyFill="1" applyBorder="1" applyAlignment="1" quotePrefix="1">
      <alignment horizontal="center" vertical="center" wrapText="1"/>
    </xf>
    <xf numFmtId="40" fontId="0" fillId="2" borderId="1" xfId="0" applyNumberFormat="1" applyFill="1" applyBorder="1" applyAlignment="1" quotePrefix="1">
      <alignment horizontal="center" vertical="center" wrapText="1"/>
    </xf>
    <xf numFmtId="40" fontId="0" fillId="2" borderId="11" xfId="0" applyNumberFormat="1" applyFill="1" applyBorder="1" applyAlignment="1" quotePrefix="1">
      <alignment horizontal="center" vertical="center" wrapText="1"/>
    </xf>
    <xf numFmtId="40" fontId="0" fillId="2" borderId="0" xfId="0" applyNumberFormat="1" applyFill="1" applyBorder="1" applyAlignment="1" quotePrefix="1">
      <alignment horizontal="center" vertical="center" wrapText="1"/>
    </xf>
    <xf numFmtId="0" fontId="1" fillId="3" borderId="1" xfId="0" applyFont="1" applyFill="1" applyBorder="1" applyAlignment="1" quotePrefix="1">
      <alignment horizontal="center" vertical="center" wrapText="1"/>
    </xf>
    <xf numFmtId="40" fontId="0" fillId="3" borderId="93" xfId="0" applyNumberFormat="1" applyFill="1" applyBorder="1" applyAlignment="1" quotePrefix="1">
      <alignment horizontal="center" vertical="center" wrapText="1"/>
    </xf>
    <xf numFmtId="0" fontId="1" fillId="3" borderId="1" xfId="0" applyFont="1" applyFill="1" applyBorder="1" applyAlignment="1">
      <alignment horizontal="center" vertical="center" wrapText="1"/>
    </xf>
    <xf numFmtId="0" fontId="18" fillId="3" borderId="1" xfId="0" applyFont="1" applyFill="1" applyBorder="1" applyAlignment="1" quotePrefix="1">
      <alignment horizontal="center" vertical="center" wrapText="1"/>
    </xf>
    <xf numFmtId="0" fontId="0" fillId="3" borderId="93" xfId="0" applyFill="1" applyBorder="1" applyAlignment="1" quotePrefix="1">
      <alignment horizontal="center" vertical="center" wrapText="1"/>
    </xf>
    <xf numFmtId="40" fontId="0" fillId="2" borderId="0" xfId="0" applyNumberFormat="1" applyFill="1" applyBorder="1" applyAlignment="1">
      <alignment horizontal="center" vertical="center" wrapText="1"/>
    </xf>
    <xf numFmtId="40" fontId="0" fillId="3" borderId="1" xfId="0" applyNumberFormat="1" applyFill="1" applyBorder="1" applyAlignment="1" quotePrefix="1">
      <alignment horizontal="center" vertical="center" wrapText="1"/>
    </xf>
    <xf numFmtId="0" fontId="1" fillId="3" borderId="0" xfId="0" applyFont="1" applyFill="1" applyAlignment="1">
      <alignment/>
    </xf>
    <xf numFmtId="0" fontId="5" fillId="3" borderId="1" xfId="0" applyFont="1" applyFill="1" applyBorder="1" applyAlignment="1" quotePrefix="1">
      <alignment horizontal="center" vertical="center" wrapText="1"/>
    </xf>
    <xf numFmtId="40" fontId="4" fillId="3" borderId="93" xfId="0" applyNumberFormat="1" applyFont="1" applyFill="1" applyBorder="1" applyAlignment="1" quotePrefix="1">
      <alignment horizontal="center" vertical="center" wrapText="1"/>
    </xf>
    <xf numFmtId="38" fontId="1" fillId="2" borderId="0" xfId="0" applyNumberFormat="1" applyFont="1" applyFill="1" applyAlignment="1">
      <alignment horizontal="centerContinuous"/>
    </xf>
    <xf numFmtId="38" fontId="13" fillId="2" borderId="1" xfId="0" applyNumberFormat="1" applyFont="1" applyFill="1" applyBorder="1" applyAlignment="1">
      <alignment horizontal="centerContinuous" vertical="center" wrapText="1"/>
    </xf>
    <xf numFmtId="38" fontId="13" fillId="2" borderId="1" xfId="0" applyNumberFormat="1" applyFont="1" applyFill="1" applyBorder="1" applyAlignment="1" quotePrefix="1">
      <alignment horizontal="centerContinuous" vertical="center" wrapText="1"/>
    </xf>
    <xf numFmtId="38" fontId="0" fillId="2" borderId="36" xfId="0" applyNumberFormat="1" applyFill="1" applyBorder="1" applyAlignment="1">
      <alignment/>
    </xf>
    <xf numFmtId="38" fontId="0" fillId="2" borderId="1" xfId="0" applyNumberFormat="1" applyFill="1" applyBorder="1" applyAlignment="1" quotePrefix="1">
      <alignment horizontal="left"/>
    </xf>
    <xf numFmtId="38" fontId="0" fillId="2" borderId="36" xfId="0" applyNumberFormat="1" applyFill="1" applyBorder="1" applyAlignment="1" quotePrefix="1">
      <alignment horizontal="left"/>
    </xf>
    <xf numFmtId="38" fontId="0" fillId="2" borderId="30" xfId="0" applyNumberFormat="1" applyFill="1" applyBorder="1" applyAlignment="1" quotePrefix="1">
      <alignment horizontal="left"/>
    </xf>
    <xf numFmtId="0" fontId="13" fillId="2" borderId="1" xfId="0" applyFont="1" applyFill="1" applyBorder="1" applyAlignment="1">
      <alignment horizontal="centerContinuous" vertical="center" wrapText="1"/>
    </xf>
    <xf numFmtId="0" fontId="13" fillId="2" borderId="1" xfId="0" applyFont="1" applyFill="1" applyBorder="1" applyAlignment="1" quotePrefix="1">
      <alignment horizontal="centerContinuous" vertical="center" wrapText="1"/>
    </xf>
    <xf numFmtId="188" fontId="0" fillId="3" borderId="72" xfId="15" applyNumberFormat="1" applyFont="1" applyFill="1" applyBorder="1" applyAlignment="1" applyProtection="1">
      <alignment/>
      <protection locked="0"/>
    </xf>
    <xf numFmtId="185" fontId="0" fillId="3" borderId="72" xfId="15" applyFont="1" applyFill="1" applyBorder="1" applyAlignment="1" applyProtection="1">
      <alignment/>
      <protection locked="0"/>
    </xf>
    <xf numFmtId="14" fontId="0" fillId="2" borderId="0" xfId="0" applyNumberFormat="1" applyFill="1" applyAlignment="1">
      <alignment/>
    </xf>
    <xf numFmtId="197" fontId="0" fillId="2" borderId="36" xfId="0" applyNumberFormat="1" applyFill="1" applyBorder="1" applyAlignment="1">
      <alignment/>
    </xf>
    <xf numFmtId="197" fontId="0" fillId="2" borderId="0" xfId="19" applyNumberFormat="1" applyFill="1" applyAlignment="1">
      <alignment/>
    </xf>
    <xf numFmtId="10" fontId="9" fillId="2" borderId="0" xfId="19" applyNumberFormat="1" applyFont="1" applyFill="1" applyAlignment="1">
      <alignment/>
    </xf>
    <xf numFmtId="1" fontId="0" fillId="2" borderId="0" xfId="0" applyNumberFormat="1" applyFill="1" applyAlignment="1">
      <alignment/>
    </xf>
    <xf numFmtId="188" fontId="0" fillId="3" borderId="2" xfId="15" applyNumberFormat="1" applyFont="1" applyFill="1" applyBorder="1" applyAlignment="1" applyProtection="1">
      <alignment/>
      <protection locked="0"/>
    </xf>
    <xf numFmtId="14" fontId="0" fillId="3" borderId="2" xfId="0" applyNumberFormat="1" applyFill="1" applyBorder="1" applyAlignment="1" applyProtection="1">
      <alignment/>
      <protection locked="0"/>
    </xf>
    <xf numFmtId="188" fontId="0" fillId="3" borderId="38" xfId="15" applyNumberFormat="1" applyFont="1" applyFill="1" applyBorder="1" applyAlignment="1" applyProtection="1">
      <alignment/>
      <protection locked="0"/>
    </xf>
    <xf numFmtId="14" fontId="0" fillId="3" borderId="38" xfId="0" applyNumberFormat="1" applyFill="1" applyBorder="1" applyAlignment="1" applyProtection="1">
      <alignment/>
      <protection locked="0"/>
    </xf>
    <xf numFmtId="197" fontId="0" fillId="2" borderId="52" xfId="0" applyNumberFormat="1" applyFill="1" applyBorder="1" applyAlignment="1">
      <alignment/>
    </xf>
    <xf numFmtId="197" fontId="0" fillId="2" borderId="37" xfId="0" applyNumberFormat="1" applyFill="1" applyBorder="1" applyAlignment="1">
      <alignment/>
    </xf>
    <xf numFmtId="197" fontId="0" fillId="2" borderId="52" xfId="19" applyNumberFormat="1" applyFill="1" applyBorder="1" applyAlignment="1">
      <alignment/>
    </xf>
    <xf numFmtId="197" fontId="0" fillId="2" borderId="91" xfId="0" applyNumberFormat="1" applyFill="1" applyBorder="1" applyAlignment="1">
      <alignment/>
    </xf>
    <xf numFmtId="197" fontId="0" fillId="2" borderId="16" xfId="0" applyNumberFormat="1" applyFill="1" applyBorder="1" applyAlignment="1">
      <alignment/>
    </xf>
    <xf numFmtId="0" fontId="0" fillId="2" borderId="36" xfId="0" applyFill="1" applyBorder="1" applyAlignment="1" quotePrefix="1">
      <alignment horizontal="left"/>
    </xf>
    <xf numFmtId="0" fontId="0" fillId="2" borderId="30" xfId="0" applyFill="1" applyBorder="1" applyAlignment="1" quotePrefix="1">
      <alignment horizontal="left"/>
    </xf>
    <xf numFmtId="0" fontId="1" fillId="2" borderId="86" xfId="0" applyFont="1" applyFill="1" applyBorder="1" applyAlignment="1" applyProtection="1">
      <alignment horizontal="right" wrapText="1"/>
      <protection/>
    </xf>
    <xf numFmtId="0" fontId="1" fillId="2" borderId="4" xfId="0" applyFont="1" applyFill="1" applyBorder="1" applyAlignment="1">
      <alignment/>
    </xf>
    <xf numFmtId="38" fontId="0" fillId="3" borderId="3" xfId="15" applyNumberFormat="1" applyFont="1" applyFill="1" applyBorder="1" applyAlignment="1" applyProtection="1">
      <alignment/>
      <protection locked="0"/>
    </xf>
    <xf numFmtId="0" fontId="0" fillId="3" borderId="0" xfId="0" applyFill="1" applyAlignment="1">
      <alignment horizontal="center"/>
    </xf>
    <xf numFmtId="14" fontId="0" fillId="3" borderId="0" xfId="0" applyNumberFormat="1" applyFill="1" applyAlignment="1">
      <alignment/>
    </xf>
    <xf numFmtId="169" fontId="0" fillId="3" borderId="7" xfId="15" applyNumberFormat="1" applyFill="1" applyBorder="1" applyAlignment="1" applyProtection="1">
      <alignment horizontal="left"/>
      <protection locked="0"/>
    </xf>
    <xf numFmtId="0" fontId="1" fillId="2" borderId="35" xfId="0" applyFont="1" applyFill="1" applyBorder="1" applyAlignment="1" applyProtection="1" quotePrefix="1">
      <alignment horizontal="right" wrapText="1"/>
      <protection/>
    </xf>
    <xf numFmtId="0" fontId="1" fillId="2" borderId="94" xfId="0" applyFont="1" applyFill="1" applyBorder="1" applyAlignment="1" applyProtection="1">
      <alignment horizontal="right" wrapText="1"/>
      <protection/>
    </xf>
    <xf numFmtId="185" fontId="0" fillId="2" borderId="94" xfId="15" applyNumberFormat="1" applyFill="1" applyBorder="1" applyAlignment="1" applyProtection="1">
      <alignment horizontal="left"/>
      <protection/>
    </xf>
    <xf numFmtId="0" fontId="1" fillId="2" borderId="34" xfId="0" applyFont="1" applyFill="1" applyBorder="1" applyAlignment="1" applyProtection="1">
      <alignment horizontal="right" wrapText="1"/>
      <protection/>
    </xf>
    <xf numFmtId="185" fontId="0" fillId="2" borderId="34" xfId="15" applyNumberFormat="1" applyFill="1" applyBorder="1" applyAlignment="1" applyProtection="1">
      <alignment horizontal="left"/>
      <protection/>
    </xf>
    <xf numFmtId="0" fontId="1" fillId="2" borderId="0" xfId="0" applyFont="1" applyFill="1" applyBorder="1" applyAlignment="1" applyProtection="1" quotePrefix="1">
      <alignment horizontal="right" wrapText="1"/>
      <protection/>
    </xf>
    <xf numFmtId="185" fontId="1" fillId="2" borderId="64" xfId="0" applyNumberFormat="1" applyFont="1" applyFill="1" applyBorder="1" applyAlignment="1" applyProtection="1">
      <alignment horizontal="left"/>
      <protection/>
    </xf>
    <xf numFmtId="2" fontId="0" fillId="3" borderId="1" xfId="15" applyNumberFormat="1" applyFont="1" applyFill="1" applyBorder="1" applyAlignment="1">
      <alignment/>
    </xf>
    <xf numFmtId="1" fontId="0" fillId="3" borderId="36" xfId="0" applyNumberFormat="1" applyFill="1" applyBorder="1" applyAlignment="1" applyProtection="1">
      <alignment horizontal="center"/>
      <protection locked="0"/>
    </xf>
    <xf numFmtId="169" fontId="0" fillId="0" borderId="0" xfId="0" applyNumberFormat="1" applyAlignment="1">
      <alignment/>
    </xf>
    <xf numFmtId="38" fontId="0" fillId="2" borderId="95" xfId="0" applyNumberFormat="1" applyFill="1" applyBorder="1" applyAlignment="1">
      <alignment/>
    </xf>
    <xf numFmtId="0" fontId="1" fillId="2" borderId="0" xfId="0" applyFont="1" applyFill="1" applyAlignment="1">
      <alignment/>
    </xf>
    <xf numFmtId="169" fontId="0" fillId="3" borderId="20" xfId="15" applyNumberFormat="1" applyFont="1" applyFill="1" applyBorder="1" applyAlignment="1" applyProtection="1">
      <alignment horizontal="left"/>
      <protection locked="0"/>
    </xf>
    <xf numFmtId="169" fontId="0" fillId="3" borderId="96" xfId="15" applyNumberFormat="1" applyFont="1" applyFill="1" applyBorder="1" applyAlignment="1" applyProtection="1">
      <alignment horizontal="left"/>
      <protection locked="0"/>
    </xf>
    <xf numFmtId="169" fontId="0" fillId="3" borderId="24" xfId="15" applyNumberFormat="1" applyFont="1" applyFill="1" applyBorder="1" applyAlignment="1" applyProtection="1">
      <alignment horizontal="left"/>
      <protection locked="0"/>
    </xf>
    <xf numFmtId="169" fontId="0" fillId="3" borderId="54" xfId="15" applyNumberFormat="1" applyFont="1" applyFill="1" applyBorder="1" applyAlignment="1" applyProtection="1">
      <alignment horizontal="left"/>
      <protection locked="0"/>
    </xf>
    <xf numFmtId="169" fontId="0" fillId="3" borderId="55" xfId="15" applyNumberFormat="1" applyFont="1" applyFill="1" applyBorder="1" applyAlignment="1" applyProtection="1">
      <alignment horizontal="left"/>
      <protection locked="0"/>
    </xf>
    <xf numFmtId="169" fontId="0" fillId="3" borderId="44" xfId="15" applyNumberFormat="1" applyFont="1" applyFill="1" applyBorder="1" applyAlignment="1" applyProtection="1">
      <alignment horizontal="left"/>
      <protection locked="0"/>
    </xf>
    <xf numFmtId="0" fontId="27" fillId="2" borderId="0" xfId="0" applyFont="1" applyFill="1" applyBorder="1" applyAlignment="1">
      <alignment horizontal="left"/>
    </xf>
    <xf numFmtId="0" fontId="34" fillId="0" borderId="0" xfId="0" applyFont="1" applyAlignment="1">
      <alignment/>
    </xf>
    <xf numFmtId="0" fontId="7" fillId="0" borderId="0" xfId="0" applyFont="1" applyAlignment="1">
      <alignment/>
    </xf>
    <xf numFmtId="0" fontId="7" fillId="0" borderId="0" xfId="0" applyFont="1" applyAlignment="1">
      <alignment/>
    </xf>
    <xf numFmtId="0" fontId="47" fillId="0" borderId="0" xfId="0" applyFont="1" applyAlignment="1">
      <alignment/>
    </xf>
    <xf numFmtId="0" fontId="28" fillId="0" borderId="0" xfId="0" applyFont="1" applyAlignment="1">
      <alignment/>
    </xf>
    <xf numFmtId="0" fontId="29" fillId="0" borderId="0" xfId="0" applyFont="1" applyAlignment="1">
      <alignment/>
    </xf>
    <xf numFmtId="0" fontId="8" fillId="0" borderId="0" xfId="0" applyFont="1" applyAlignment="1">
      <alignment/>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34" fillId="0" borderId="0" xfId="0" applyFont="1" applyBorder="1" applyAlignment="1">
      <alignment/>
    </xf>
    <xf numFmtId="0" fontId="50" fillId="0" borderId="0" xfId="0" applyFont="1" applyBorder="1" applyAlignment="1">
      <alignment/>
    </xf>
    <xf numFmtId="0" fontId="51" fillId="0" borderId="0" xfId="0" applyFont="1" applyAlignment="1">
      <alignment/>
    </xf>
    <xf numFmtId="0" fontId="7"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38100</xdr:rowOff>
    </xdr:from>
    <xdr:to>
      <xdr:col>5</xdr:col>
      <xdr:colOff>180975</xdr:colOff>
      <xdr:row>8</xdr:row>
      <xdr:rowOff>38100</xdr:rowOff>
    </xdr:to>
    <xdr:pic>
      <xdr:nvPicPr>
        <xdr:cNvPr id="1" name="Picture 2"/>
        <xdr:cNvPicPr preferRelativeResize="1">
          <a:picLocks noChangeAspect="1"/>
        </xdr:cNvPicPr>
      </xdr:nvPicPr>
      <xdr:blipFill>
        <a:blip r:embed="rId1"/>
        <a:stretch>
          <a:fillRect/>
        </a:stretch>
      </xdr:blipFill>
      <xdr:spPr>
        <a:xfrm>
          <a:off x="104775" y="200025"/>
          <a:ext cx="3000375" cy="1800225"/>
        </a:xfrm>
        <a:prstGeom prst="rect">
          <a:avLst/>
        </a:prstGeom>
        <a:noFill/>
        <a:ln w="9525" cmpd="sng">
          <a:noFill/>
        </a:ln>
      </xdr:spPr>
    </xdr:pic>
    <xdr:clientData/>
  </xdr:twoCellAnchor>
  <xdr:twoCellAnchor editAs="oneCell">
    <xdr:from>
      <xdr:col>1</xdr:col>
      <xdr:colOff>114300</xdr:colOff>
      <xdr:row>9</xdr:row>
      <xdr:rowOff>28575</xdr:rowOff>
    </xdr:from>
    <xdr:to>
      <xdr:col>4</xdr:col>
      <xdr:colOff>514350</xdr:colOff>
      <xdr:row>11</xdr:row>
      <xdr:rowOff>104775</xdr:rowOff>
    </xdr:to>
    <xdr:pic>
      <xdr:nvPicPr>
        <xdr:cNvPr id="2" name="Picture 3"/>
        <xdr:cNvPicPr preferRelativeResize="1">
          <a:picLocks noChangeAspect="1"/>
        </xdr:cNvPicPr>
      </xdr:nvPicPr>
      <xdr:blipFill>
        <a:blip r:embed="rId2"/>
        <a:stretch>
          <a:fillRect/>
        </a:stretch>
      </xdr:blipFill>
      <xdr:spPr>
        <a:xfrm>
          <a:off x="476250" y="2152650"/>
          <a:ext cx="235267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28575</xdr:rowOff>
    </xdr:from>
    <xdr:to>
      <xdr:col>0</xdr:col>
      <xdr:colOff>2076450</xdr:colOff>
      <xdr:row>7</xdr:row>
      <xdr:rowOff>133350</xdr:rowOff>
    </xdr:to>
    <xdr:pic>
      <xdr:nvPicPr>
        <xdr:cNvPr id="1" name="Picture 10"/>
        <xdr:cNvPicPr preferRelativeResize="1">
          <a:picLocks noChangeAspect="1"/>
        </xdr:cNvPicPr>
      </xdr:nvPicPr>
      <xdr:blipFill>
        <a:blip r:embed="rId1"/>
        <a:stretch>
          <a:fillRect/>
        </a:stretch>
      </xdr:blipFill>
      <xdr:spPr>
        <a:xfrm>
          <a:off x="104775" y="361950"/>
          <a:ext cx="1971675" cy="1447800"/>
        </a:xfrm>
        <a:prstGeom prst="rect">
          <a:avLst/>
        </a:prstGeom>
        <a:noFill/>
        <a:ln w="9525" cmpd="sng">
          <a:noFill/>
        </a:ln>
      </xdr:spPr>
    </xdr:pic>
    <xdr:clientData/>
  </xdr:twoCellAnchor>
  <xdr:twoCellAnchor editAs="oneCell">
    <xdr:from>
      <xdr:col>0</xdr:col>
      <xdr:colOff>323850</xdr:colOff>
      <xdr:row>8</xdr:row>
      <xdr:rowOff>9525</xdr:rowOff>
    </xdr:from>
    <xdr:to>
      <xdr:col>0</xdr:col>
      <xdr:colOff>1962150</xdr:colOff>
      <xdr:row>9</xdr:row>
      <xdr:rowOff>66675</xdr:rowOff>
    </xdr:to>
    <xdr:pic>
      <xdr:nvPicPr>
        <xdr:cNvPr id="2" name="Picture 11"/>
        <xdr:cNvPicPr preferRelativeResize="1">
          <a:picLocks noChangeAspect="1"/>
        </xdr:cNvPicPr>
      </xdr:nvPicPr>
      <xdr:blipFill>
        <a:blip r:embed="rId2"/>
        <a:stretch>
          <a:fillRect/>
        </a:stretch>
      </xdr:blipFill>
      <xdr:spPr>
        <a:xfrm>
          <a:off x="323850" y="1847850"/>
          <a:ext cx="1638300" cy="285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20Safexcar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SUMMARY"/>
      <sheetName val="INITIAL CAPITAL"/>
      <sheetName val="OWN FUNDS"/>
      <sheetName val="ANN OPER COSTS"/>
      <sheetName val="Pos Risk Choice"/>
      <sheetName val="Simple"/>
      <sheetName val="BB Loan Stock"/>
      <sheetName val="BB Securities etc"/>
      <sheetName val="Counterparty Risk Reqt"/>
      <sheetName val="Large Exposure Req't"/>
      <sheetName val="Forex Req't"/>
      <sheetName val="BBLS Summary"/>
      <sheetName val="BBLS Maturity"/>
      <sheetName val="BBLS Duration"/>
    </sheetNames>
    <definedNames>
      <definedName name="EFFDATE" refersTo="=SUMMARY!$B$7"/>
    </definedNames>
    <sheetDataSet>
      <sheetData sheetId="0">
        <row r="7">
          <cell r="B7" t="str">
            <v>a) Enter the date on which these figures are based in the appropriate cell</v>
          </cell>
        </row>
      </sheetData>
      <sheetData sheetId="1">
        <row r="7">
          <cell r="B7">
            <v>36250</v>
          </cell>
        </row>
      </sheetData>
      <sheetData sheetId="3">
        <row r="7">
          <cell r="B7" t="str">
            <v>A3</v>
          </cell>
        </row>
      </sheetData>
      <sheetData sheetId="4">
        <row r="7">
          <cell r="B7" t="str">
            <v>Adjusted revenue</v>
          </cell>
        </row>
      </sheetData>
      <sheetData sheetId="5">
        <row r="7">
          <cell r="B7" t="str">
            <v>Method 3 - in-house value-at-risk model</v>
          </cell>
        </row>
      </sheetData>
      <sheetData sheetId="6">
        <row r="7">
          <cell r="B7" t="str">
            <v> Spot                        R</v>
          </cell>
        </row>
      </sheetData>
      <sheetData sheetId="8">
        <row r="7">
          <cell r="B7">
            <v>0</v>
          </cell>
        </row>
      </sheetData>
      <sheetData sheetId="9">
        <row r="7">
          <cell r="B7">
            <v>0</v>
          </cell>
        </row>
      </sheetData>
      <sheetData sheetId="10">
        <row r="7">
          <cell r="B7" t="str">
            <v>Long
 Position</v>
          </cell>
        </row>
      </sheetData>
      <sheetData sheetId="11">
        <row r="7">
          <cell r="B7">
            <v>0</v>
          </cell>
        </row>
      </sheetData>
      <sheetData sheetId="14">
        <row r="7">
          <cell r="B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B4:L117"/>
  <sheetViews>
    <sheetView showGridLines="0" tabSelected="1" zoomScale="75" zoomScaleNormal="75" workbookViewId="0" topLeftCell="A1">
      <selection activeCell="H34" sqref="H34"/>
    </sheetView>
  </sheetViews>
  <sheetFormatPr defaultColWidth="9.140625" defaultRowHeight="12.75"/>
  <cols>
    <col min="1" max="1" width="5.421875" style="0" customWidth="1"/>
    <col min="2" max="2" width="11.00390625" style="0" customWidth="1"/>
    <col min="13" max="13" width="9.8515625" style="0" customWidth="1"/>
  </cols>
  <sheetData>
    <row r="4" spans="8:9" ht="33.75">
      <c r="H4" s="785" t="s">
        <v>567</v>
      </c>
      <c r="I4" s="3"/>
    </row>
    <row r="5" ht="23.25">
      <c r="H5" s="784"/>
    </row>
    <row r="6" ht="33.75">
      <c r="H6" s="785" t="s">
        <v>566</v>
      </c>
    </row>
    <row r="17" spans="2:12" ht="18">
      <c r="B17" s="783" t="s">
        <v>482</v>
      </c>
      <c r="C17" s="779"/>
      <c r="D17" s="779"/>
      <c r="E17" s="779"/>
      <c r="F17" s="779"/>
      <c r="G17" s="779"/>
      <c r="H17" s="779"/>
      <c r="I17" s="779"/>
      <c r="J17" s="779"/>
      <c r="K17" s="779"/>
      <c r="L17" s="779"/>
    </row>
    <row r="18" spans="2:12" ht="15">
      <c r="B18" s="779"/>
      <c r="C18" s="779"/>
      <c r="D18" s="779"/>
      <c r="E18" s="779"/>
      <c r="F18" s="779"/>
      <c r="G18" s="779"/>
      <c r="H18" s="779"/>
      <c r="I18" s="779"/>
      <c r="J18" s="779"/>
      <c r="K18" s="779"/>
      <c r="L18" s="779"/>
    </row>
    <row r="19" spans="2:12" ht="15">
      <c r="B19" s="779"/>
      <c r="C19" s="779"/>
      <c r="D19" s="779"/>
      <c r="E19" s="779"/>
      <c r="F19" s="779"/>
      <c r="G19" s="779"/>
      <c r="H19" s="779"/>
      <c r="I19" s="779"/>
      <c r="J19" s="779"/>
      <c r="K19" s="779"/>
      <c r="L19" s="779"/>
    </row>
    <row r="20" spans="2:12" ht="15">
      <c r="B20" s="779" t="s">
        <v>483</v>
      </c>
      <c r="C20" s="779"/>
      <c r="D20" s="779"/>
      <c r="E20" s="779"/>
      <c r="F20" s="779"/>
      <c r="G20" s="779"/>
      <c r="H20" s="779"/>
      <c r="I20" s="779"/>
      <c r="J20" s="779"/>
      <c r="K20" s="779"/>
      <c r="L20" s="779"/>
    </row>
    <row r="21" spans="2:12" ht="15">
      <c r="B21" s="779"/>
      <c r="C21" s="779"/>
      <c r="D21" s="779"/>
      <c r="E21" s="779"/>
      <c r="F21" s="779"/>
      <c r="G21" s="779"/>
      <c r="H21" s="779"/>
      <c r="I21" s="779"/>
      <c r="J21" s="779"/>
      <c r="K21" s="779"/>
      <c r="L21" s="779"/>
    </row>
    <row r="22" spans="2:12" ht="15">
      <c r="B22" s="779" t="s">
        <v>484</v>
      </c>
      <c r="C22" s="779"/>
      <c r="D22" s="779"/>
      <c r="E22" s="779"/>
      <c r="F22" s="779"/>
      <c r="G22" s="779"/>
      <c r="H22" s="779"/>
      <c r="I22" s="779"/>
      <c r="J22" s="779"/>
      <c r="K22" s="779"/>
      <c r="L22" s="779"/>
    </row>
    <row r="23" spans="2:12" ht="30.75" customHeight="1">
      <c r="B23" s="791" t="s">
        <v>485</v>
      </c>
      <c r="C23" s="791"/>
      <c r="D23" s="791"/>
      <c r="E23" s="791"/>
      <c r="F23" s="791"/>
      <c r="G23" s="791"/>
      <c r="H23" s="791"/>
      <c r="I23" s="791"/>
      <c r="J23" s="791"/>
      <c r="K23" s="791"/>
      <c r="L23" s="791"/>
    </row>
    <row r="24" spans="2:12" ht="12.75">
      <c r="B24" s="791"/>
      <c r="C24" s="791"/>
      <c r="D24" s="791"/>
      <c r="E24" s="791"/>
      <c r="F24" s="791"/>
      <c r="G24" s="791"/>
      <c r="H24" s="791"/>
      <c r="I24" s="791"/>
      <c r="J24" s="791"/>
      <c r="K24" s="791"/>
      <c r="L24" s="791"/>
    </row>
    <row r="25" spans="2:12" ht="15">
      <c r="B25" s="779"/>
      <c r="C25" s="779"/>
      <c r="D25" s="779"/>
      <c r="E25" s="779"/>
      <c r="F25" s="779"/>
      <c r="G25" s="779"/>
      <c r="H25" s="779"/>
      <c r="I25" s="779"/>
      <c r="J25" s="779"/>
      <c r="K25" s="779"/>
      <c r="L25" s="779"/>
    </row>
    <row r="26" spans="2:12" ht="15">
      <c r="B26" s="786" t="s">
        <v>486</v>
      </c>
      <c r="C26" s="779"/>
      <c r="D26" s="779"/>
      <c r="E26" s="779"/>
      <c r="F26" s="779"/>
      <c r="G26" s="779"/>
      <c r="H26" s="779"/>
      <c r="I26" s="779"/>
      <c r="J26" s="779"/>
      <c r="K26" s="779"/>
      <c r="L26" s="779"/>
    </row>
    <row r="27" spans="2:12" ht="15">
      <c r="B27" s="779"/>
      <c r="C27" s="779"/>
      <c r="D27" s="779"/>
      <c r="E27" s="779"/>
      <c r="F27" s="779"/>
      <c r="G27" s="779"/>
      <c r="H27" s="779"/>
      <c r="I27" s="779"/>
      <c r="J27" s="779"/>
      <c r="K27" s="779"/>
      <c r="L27" s="779"/>
    </row>
    <row r="28" spans="2:12" ht="15.75">
      <c r="B28" s="305" t="s">
        <v>542</v>
      </c>
      <c r="C28" s="788" t="s">
        <v>543</v>
      </c>
      <c r="D28" s="789"/>
      <c r="E28" s="779"/>
      <c r="F28" s="779"/>
      <c r="G28" s="779"/>
      <c r="H28" s="779"/>
      <c r="I28" s="779"/>
      <c r="J28" s="779"/>
      <c r="K28" s="779"/>
      <c r="L28" s="779"/>
    </row>
    <row r="29" spans="2:12" ht="15">
      <c r="B29" s="779"/>
      <c r="C29" s="779"/>
      <c r="D29" s="779"/>
      <c r="E29" s="779"/>
      <c r="F29" s="779"/>
      <c r="G29" s="779"/>
      <c r="H29" s="779"/>
      <c r="I29" s="779"/>
      <c r="J29" s="779"/>
      <c r="K29" s="779"/>
      <c r="L29" s="779"/>
    </row>
    <row r="30" spans="2:12" ht="15">
      <c r="B30" s="779" t="s">
        <v>487</v>
      </c>
      <c r="C30" s="779" t="s">
        <v>547</v>
      </c>
      <c r="D30" s="779"/>
      <c r="E30" s="779"/>
      <c r="F30" s="779"/>
      <c r="G30" s="779"/>
      <c r="H30" s="779"/>
      <c r="I30" s="779"/>
      <c r="J30" s="779"/>
      <c r="K30" s="779"/>
      <c r="L30" s="779"/>
    </row>
    <row r="31" spans="2:12" ht="15">
      <c r="B31" s="779" t="s">
        <v>488</v>
      </c>
      <c r="C31" s="779" t="s">
        <v>548</v>
      </c>
      <c r="D31" s="779"/>
      <c r="E31" s="779"/>
      <c r="F31" s="779"/>
      <c r="G31" s="779"/>
      <c r="H31" s="779"/>
      <c r="I31" s="779"/>
      <c r="J31" s="779"/>
      <c r="K31" s="779"/>
      <c r="L31" s="779"/>
    </row>
    <row r="32" spans="2:12" ht="14.25" customHeight="1">
      <c r="B32" s="779" t="s">
        <v>489</v>
      </c>
      <c r="C32" s="779" t="s">
        <v>490</v>
      </c>
      <c r="D32" s="779"/>
      <c r="E32" s="779"/>
      <c r="F32" s="779"/>
      <c r="G32" s="779"/>
      <c r="H32" s="779"/>
      <c r="I32" s="779"/>
      <c r="J32" s="779"/>
      <c r="K32" s="779"/>
      <c r="L32" s="779"/>
    </row>
    <row r="33" spans="2:12" ht="15">
      <c r="B33" s="779"/>
      <c r="C33" s="779" t="s">
        <v>491</v>
      </c>
      <c r="D33" s="779"/>
      <c r="E33" s="779"/>
      <c r="F33" s="779"/>
      <c r="G33" s="779"/>
      <c r="H33" s="779"/>
      <c r="I33" s="779"/>
      <c r="J33" s="779"/>
      <c r="K33" s="779"/>
      <c r="L33" s="779"/>
    </row>
    <row r="34" spans="2:12" ht="15">
      <c r="B34" s="779"/>
      <c r="C34" s="779"/>
      <c r="D34" s="779"/>
      <c r="E34" s="779"/>
      <c r="F34" s="779"/>
      <c r="G34" s="779"/>
      <c r="H34" s="779"/>
      <c r="I34" s="779"/>
      <c r="J34" s="779"/>
      <c r="K34" s="779"/>
      <c r="L34" s="779"/>
    </row>
    <row r="35" spans="2:12" ht="15.75">
      <c r="B35" s="305" t="s">
        <v>582</v>
      </c>
      <c r="C35" s="778" t="s">
        <v>544</v>
      </c>
      <c r="D35" s="787"/>
      <c r="E35" s="779"/>
      <c r="F35" s="779"/>
      <c r="G35" s="779"/>
      <c r="H35" s="779"/>
      <c r="I35" s="779"/>
      <c r="J35" s="779"/>
      <c r="K35" s="779"/>
      <c r="L35" s="779"/>
    </row>
    <row r="36" spans="2:12" ht="15">
      <c r="B36" s="779"/>
      <c r="C36" s="779"/>
      <c r="D36" s="779"/>
      <c r="E36" s="779"/>
      <c r="F36" s="779"/>
      <c r="G36" s="779"/>
      <c r="H36" s="779"/>
      <c r="I36" s="779"/>
      <c r="J36" s="779"/>
      <c r="K36" s="779"/>
      <c r="L36" s="779"/>
    </row>
    <row r="37" spans="2:12" ht="15">
      <c r="B37" s="779" t="s">
        <v>487</v>
      </c>
      <c r="C37" s="779" t="s">
        <v>528</v>
      </c>
      <c r="D37" s="779"/>
      <c r="E37" s="779"/>
      <c r="F37" s="779"/>
      <c r="G37" s="779"/>
      <c r="H37" s="779"/>
      <c r="I37" s="779"/>
      <c r="J37" s="779"/>
      <c r="K37" s="779"/>
      <c r="L37" s="779"/>
    </row>
    <row r="38" spans="2:12" ht="15">
      <c r="B38" s="779"/>
      <c r="C38" s="779" t="s">
        <v>492</v>
      </c>
      <c r="D38" s="779"/>
      <c r="E38" s="779"/>
      <c r="F38" s="779"/>
      <c r="G38" s="779"/>
      <c r="H38" s="779"/>
      <c r="I38" s="779"/>
      <c r="J38" s="779"/>
      <c r="K38" s="779"/>
      <c r="L38" s="779"/>
    </row>
    <row r="39" spans="2:12" ht="15">
      <c r="B39" s="779"/>
      <c r="C39" s="779"/>
      <c r="D39" s="779"/>
      <c r="E39" s="779"/>
      <c r="F39" s="779"/>
      <c r="G39" s="779"/>
      <c r="H39" s="779"/>
      <c r="I39" s="779"/>
      <c r="J39" s="779"/>
      <c r="K39" s="779"/>
      <c r="L39" s="779"/>
    </row>
    <row r="40" spans="2:12" ht="15.75">
      <c r="B40" s="305" t="s">
        <v>545</v>
      </c>
      <c r="C40" s="778" t="s">
        <v>546</v>
      </c>
      <c r="D40" s="779"/>
      <c r="E40" s="779"/>
      <c r="F40" s="779"/>
      <c r="G40" s="779"/>
      <c r="H40" s="779"/>
      <c r="I40" s="779"/>
      <c r="J40" s="779"/>
      <c r="K40" s="779"/>
      <c r="L40" s="779"/>
    </row>
    <row r="41" spans="2:12" ht="15">
      <c r="B41" s="779"/>
      <c r="C41" s="779"/>
      <c r="D41" s="779"/>
      <c r="E41" s="779"/>
      <c r="F41" s="779"/>
      <c r="G41" s="779"/>
      <c r="H41" s="779"/>
      <c r="I41" s="779"/>
      <c r="J41" s="779"/>
      <c r="K41" s="779"/>
      <c r="L41" s="779"/>
    </row>
    <row r="42" spans="2:12" ht="15">
      <c r="B42" s="779" t="s">
        <v>493</v>
      </c>
      <c r="C42" s="779"/>
      <c r="D42" s="779"/>
      <c r="E42" s="779"/>
      <c r="F42" s="779"/>
      <c r="G42" s="779"/>
      <c r="H42" s="779"/>
      <c r="I42" s="779"/>
      <c r="J42" s="779"/>
      <c r="K42" s="779"/>
      <c r="L42" s="779"/>
    </row>
    <row r="43" spans="2:12" ht="15">
      <c r="B43" s="779"/>
      <c r="C43" s="779"/>
      <c r="D43" s="779"/>
      <c r="E43" s="779"/>
      <c r="F43" s="779"/>
      <c r="G43" s="779"/>
      <c r="H43" s="779"/>
      <c r="I43" s="779"/>
      <c r="J43" s="779"/>
      <c r="K43" s="779"/>
      <c r="L43" s="779"/>
    </row>
    <row r="44" spans="2:12" ht="15">
      <c r="B44" s="779" t="s">
        <v>494</v>
      </c>
      <c r="C44" s="779" t="s">
        <v>529</v>
      </c>
      <c r="D44" s="779"/>
      <c r="E44" s="779" t="s">
        <v>495</v>
      </c>
      <c r="F44" s="779"/>
      <c r="G44" s="779"/>
      <c r="H44" s="779"/>
      <c r="I44" s="779"/>
      <c r="J44" s="779"/>
      <c r="K44" s="779"/>
      <c r="L44" s="779"/>
    </row>
    <row r="45" spans="2:12" ht="15">
      <c r="B45" s="779" t="s">
        <v>496</v>
      </c>
      <c r="C45" s="779" t="s">
        <v>497</v>
      </c>
      <c r="D45" s="779"/>
      <c r="E45" s="779"/>
      <c r="F45" s="779"/>
      <c r="G45" s="779"/>
      <c r="H45" s="779"/>
      <c r="I45" s="779"/>
      <c r="J45" s="779"/>
      <c r="K45" s="779"/>
      <c r="L45" s="779"/>
    </row>
    <row r="46" spans="2:12" ht="15">
      <c r="B46" s="779" t="s">
        <v>498</v>
      </c>
      <c r="C46" s="779" t="s">
        <v>499</v>
      </c>
      <c r="D46" s="779"/>
      <c r="E46" s="779"/>
      <c r="F46" s="779"/>
      <c r="G46" s="779"/>
      <c r="H46" s="779"/>
      <c r="I46" s="779"/>
      <c r="J46" s="779"/>
      <c r="K46" s="779"/>
      <c r="L46" s="779"/>
    </row>
    <row r="47" spans="2:12" ht="15">
      <c r="B47" s="779" t="s">
        <v>500</v>
      </c>
      <c r="C47" s="779" t="s">
        <v>568</v>
      </c>
      <c r="D47" s="779"/>
      <c r="E47" s="779"/>
      <c r="F47" s="779"/>
      <c r="G47" s="779"/>
      <c r="H47" s="779"/>
      <c r="I47" s="779"/>
      <c r="J47" s="779"/>
      <c r="K47" s="779"/>
      <c r="L47" s="779"/>
    </row>
    <row r="48" spans="2:12" ht="15">
      <c r="B48" s="779" t="s">
        <v>501</v>
      </c>
      <c r="C48" s="779" t="s">
        <v>569</v>
      </c>
      <c r="D48" s="779"/>
      <c r="E48" s="779"/>
      <c r="F48" s="779"/>
      <c r="G48" s="779"/>
      <c r="H48" s="779"/>
      <c r="I48" s="779"/>
      <c r="J48" s="779"/>
      <c r="K48" s="779"/>
      <c r="L48" s="779"/>
    </row>
    <row r="49" spans="2:12" ht="15">
      <c r="B49" s="779" t="s">
        <v>502</v>
      </c>
      <c r="C49" s="779" t="s">
        <v>503</v>
      </c>
      <c r="D49" s="779" t="s">
        <v>504</v>
      </c>
      <c r="E49" s="779"/>
      <c r="F49" s="779"/>
      <c r="G49" s="779"/>
      <c r="H49" s="779"/>
      <c r="I49" s="779"/>
      <c r="J49" s="779"/>
      <c r="K49" s="779"/>
      <c r="L49" s="779"/>
    </row>
    <row r="50" spans="2:12" ht="15">
      <c r="B50" s="779"/>
      <c r="C50" s="779"/>
      <c r="D50" s="779"/>
      <c r="E50" s="779"/>
      <c r="F50" s="779"/>
      <c r="G50" s="779"/>
      <c r="H50" s="779"/>
      <c r="I50" s="779"/>
      <c r="J50" s="779"/>
      <c r="K50" s="779"/>
      <c r="L50" s="779"/>
    </row>
    <row r="51" spans="2:12" ht="15.75">
      <c r="B51" s="305" t="s">
        <v>505</v>
      </c>
      <c r="C51" s="779"/>
      <c r="D51" s="779"/>
      <c r="E51" s="779"/>
      <c r="F51" s="779"/>
      <c r="G51" s="779"/>
      <c r="H51" s="779"/>
      <c r="I51" s="779"/>
      <c r="J51" s="779"/>
      <c r="K51" s="779"/>
      <c r="L51" s="779"/>
    </row>
    <row r="52" spans="2:12" ht="15">
      <c r="B52" s="779"/>
      <c r="C52" s="779"/>
      <c r="D52" s="779"/>
      <c r="E52" s="779"/>
      <c r="F52" s="779"/>
      <c r="G52" s="779"/>
      <c r="H52" s="779"/>
      <c r="I52" s="779"/>
      <c r="J52" s="779"/>
      <c r="K52" s="779"/>
      <c r="L52" s="779"/>
    </row>
    <row r="53" spans="2:12" ht="15">
      <c r="B53" s="779" t="s">
        <v>506</v>
      </c>
      <c r="C53" s="779" t="s">
        <v>570</v>
      </c>
      <c r="D53" s="779"/>
      <c r="E53" s="779"/>
      <c r="F53" s="779"/>
      <c r="G53" s="779"/>
      <c r="H53" s="779"/>
      <c r="I53" s="779"/>
      <c r="J53" s="779"/>
      <c r="K53" s="779"/>
      <c r="L53" s="779"/>
    </row>
    <row r="54" spans="2:12" ht="15">
      <c r="B54" s="779" t="s">
        <v>507</v>
      </c>
      <c r="C54" s="779" t="s">
        <v>576</v>
      </c>
      <c r="D54" s="779"/>
      <c r="E54" s="779"/>
      <c r="F54" s="779"/>
      <c r="G54" s="779"/>
      <c r="H54" s="779"/>
      <c r="I54" s="779"/>
      <c r="J54" s="779"/>
      <c r="K54" s="779"/>
      <c r="L54" s="779"/>
    </row>
    <row r="55" spans="2:12" ht="15">
      <c r="B55" s="779" t="s">
        <v>571</v>
      </c>
      <c r="C55" s="780" t="s">
        <v>573</v>
      </c>
      <c r="D55" s="779"/>
      <c r="E55" s="779"/>
      <c r="F55" s="779"/>
      <c r="G55" s="779"/>
      <c r="H55" s="779"/>
      <c r="I55" s="779"/>
      <c r="J55" s="779"/>
      <c r="K55" s="779"/>
      <c r="L55" s="779"/>
    </row>
    <row r="56" spans="2:12" ht="15">
      <c r="B56" s="779" t="s">
        <v>572</v>
      </c>
      <c r="C56" s="779" t="s">
        <v>574</v>
      </c>
      <c r="D56" s="779"/>
      <c r="E56" s="779"/>
      <c r="F56" s="779"/>
      <c r="G56" s="779"/>
      <c r="H56" s="779"/>
      <c r="I56" s="779"/>
      <c r="J56" s="779"/>
      <c r="K56" s="779"/>
      <c r="L56" s="779"/>
    </row>
    <row r="57" spans="2:12" ht="15">
      <c r="B57" s="779" t="s">
        <v>508</v>
      </c>
      <c r="C57" s="779" t="s">
        <v>509</v>
      </c>
      <c r="D57" s="779"/>
      <c r="E57" s="779"/>
      <c r="F57" s="779"/>
      <c r="G57" s="779"/>
      <c r="H57" s="779"/>
      <c r="I57" s="779"/>
      <c r="J57" s="779"/>
      <c r="K57" s="779"/>
      <c r="L57" s="779"/>
    </row>
    <row r="58" spans="2:12" ht="15">
      <c r="B58" s="779" t="s">
        <v>510</v>
      </c>
      <c r="C58" s="791" t="s">
        <v>541</v>
      </c>
      <c r="D58" s="791"/>
      <c r="E58" s="791"/>
      <c r="F58" s="791"/>
      <c r="G58" s="791"/>
      <c r="H58" s="791"/>
      <c r="I58" s="791"/>
      <c r="J58" s="791"/>
      <c r="K58" s="791"/>
      <c r="L58" s="791"/>
    </row>
    <row r="59" spans="2:12" ht="15">
      <c r="B59" s="779"/>
      <c r="C59" s="791"/>
      <c r="D59" s="791"/>
      <c r="E59" s="791"/>
      <c r="F59" s="791"/>
      <c r="G59" s="791"/>
      <c r="H59" s="791"/>
      <c r="I59" s="791"/>
      <c r="J59" s="791"/>
      <c r="K59" s="791"/>
      <c r="L59" s="791"/>
    </row>
    <row r="60" spans="2:12" ht="15">
      <c r="B60" s="779"/>
      <c r="C60" s="779"/>
      <c r="D60" s="779"/>
      <c r="E60" s="779"/>
      <c r="F60" s="779"/>
      <c r="G60" s="779"/>
      <c r="H60" s="779"/>
      <c r="I60" s="779"/>
      <c r="J60" s="779"/>
      <c r="K60" s="779"/>
      <c r="L60" s="779"/>
    </row>
    <row r="61" spans="2:12" ht="15.75">
      <c r="B61" s="305" t="s">
        <v>511</v>
      </c>
      <c r="C61" s="779"/>
      <c r="D61" s="779"/>
      <c r="E61" s="779"/>
      <c r="F61" s="779"/>
      <c r="G61" s="779"/>
      <c r="H61" s="779"/>
      <c r="I61" s="779"/>
      <c r="J61" s="779"/>
      <c r="K61" s="779"/>
      <c r="L61" s="779"/>
    </row>
    <row r="62" spans="2:12" ht="6.75" customHeight="1">
      <c r="B62" s="779"/>
      <c r="C62" s="779"/>
      <c r="D62" s="779"/>
      <c r="E62" s="779"/>
      <c r="F62" s="779"/>
      <c r="G62" s="779"/>
      <c r="H62" s="779"/>
      <c r="I62" s="779"/>
      <c r="J62" s="779"/>
      <c r="K62" s="779"/>
      <c r="L62" s="779"/>
    </row>
    <row r="63" spans="2:12" ht="15">
      <c r="B63" s="779" t="s">
        <v>512</v>
      </c>
      <c r="C63" s="779" t="s">
        <v>513</v>
      </c>
      <c r="D63" s="779"/>
      <c r="E63" s="779"/>
      <c r="F63" s="779"/>
      <c r="G63" s="779"/>
      <c r="H63" s="779"/>
      <c r="I63" s="779"/>
      <c r="J63" s="779"/>
      <c r="K63" s="779"/>
      <c r="L63" s="779"/>
    </row>
    <row r="64" spans="2:12" ht="15">
      <c r="B64" s="779" t="s">
        <v>575</v>
      </c>
      <c r="C64" s="779" t="s">
        <v>580</v>
      </c>
      <c r="D64" s="779"/>
      <c r="E64" s="779"/>
      <c r="F64" s="779"/>
      <c r="G64" s="779"/>
      <c r="H64" s="779"/>
      <c r="I64" s="779"/>
      <c r="J64" s="779"/>
      <c r="K64" s="779"/>
      <c r="L64" s="779"/>
    </row>
    <row r="65" spans="2:12" ht="15">
      <c r="B65" s="779"/>
      <c r="C65" s="779" t="s">
        <v>581</v>
      </c>
      <c r="D65" s="779"/>
      <c r="E65" s="779"/>
      <c r="F65" s="779"/>
      <c r="G65" s="779"/>
      <c r="H65" s="779"/>
      <c r="I65" s="779"/>
      <c r="J65" s="779"/>
      <c r="K65" s="779"/>
      <c r="L65" s="779"/>
    </row>
    <row r="66" spans="2:12" ht="15">
      <c r="B66" s="779"/>
      <c r="C66" s="779"/>
      <c r="D66" s="779"/>
      <c r="E66" s="779"/>
      <c r="F66" s="779"/>
      <c r="G66" s="779"/>
      <c r="H66" s="779"/>
      <c r="I66" s="779"/>
      <c r="J66" s="779"/>
      <c r="K66" s="779"/>
      <c r="L66" s="779"/>
    </row>
    <row r="67" spans="2:12" ht="15.75">
      <c r="B67" s="305" t="s">
        <v>514</v>
      </c>
      <c r="C67" s="779"/>
      <c r="D67" s="779"/>
      <c r="E67" s="779"/>
      <c r="F67" s="779"/>
      <c r="G67" s="779"/>
      <c r="H67" s="779"/>
      <c r="I67" s="779"/>
      <c r="J67" s="779"/>
      <c r="K67" s="779"/>
      <c r="L67" s="779"/>
    </row>
    <row r="68" spans="2:12" ht="15">
      <c r="B68" s="779"/>
      <c r="C68" s="779"/>
      <c r="D68" s="779"/>
      <c r="E68" s="779"/>
      <c r="F68" s="779"/>
      <c r="G68" s="779"/>
      <c r="H68" s="779"/>
      <c r="I68" s="779"/>
      <c r="J68" s="779"/>
      <c r="K68" s="779"/>
      <c r="L68" s="779"/>
    </row>
    <row r="69" spans="2:12" ht="15">
      <c r="B69" s="779" t="s">
        <v>515</v>
      </c>
      <c r="C69" s="779" t="s">
        <v>577</v>
      </c>
      <c r="D69" s="779"/>
      <c r="E69" s="779"/>
      <c r="F69" s="779"/>
      <c r="G69" s="779"/>
      <c r="H69" s="779"/>
      <c r="I69" s="779"/>
      <c r="J69" s="779"/>
      <c r="K69" s="779"/>
      <c r="L69" s="779"/>
    </row>
    <row r="70" spans="2:12" ht="15">
      <c r="B70" s="779"/>
      <c r="C70" s="779"/>
      <c r="D70" s="779"/>
      <c r="E70" s="779"/>
      <c r="F70" s="779"/>
      <c r="G70" s="779"/>
      <c r="H70" s="779"/>
      <c r="I70" s="779"/>
      <c r="J70" s="779"/>
      <c r="K70" s="779"/>
      <c r="L70" s="779"/>
    </row>
    <row r="71" spans="2:12" ht="14.25" customHeight="1">
      <c r="B71" s="305" t="s">
        <v>530</v>
      </c>
      <c r="C71" s="778" t="s">
        <v>531</v>
      </c>
      <c r="D71" s="305"/>
      <c r="E71" s="779"/>
      <c r="F71" s="779"/>
      <c r="G71" s="779"/>
      <c r="H71" s="779"/>
      <c r="I71" s="779"/>
      <c r="J71" s="779"/>
      <c r="K71" s="779"/>
      <c r="L71" s="779"/>
    </row>
    <row r="72" spans="2:12" ht="15">
      <c r="B72" s="779"/>
      <c r="C72" s="791" t="s">
        <v>516</v>
      </c>
      <c r="D72" s="791"/>
      <c r="E72" s="791"/>
      <c r="F72" s="791"/>
      <c r="G72" s="791"/>
      <c r="H72" s="791"/>
      <c r="I72" s="791"/>
      <c r="J72" s="791"/>
      <c r="K72" s="791"/>
      <c r="L72" s="791"/>
    </row>
    <row r="73" spans="2:12" ht="51" customHeight="1">
      <c r="B73" s="779"/>
      <c r="C73" s="791"/>
      <c r="D73" s="791"/>
      <c r="E73" s="791"/>
      <c r="F73" s="791"/>
      <c r="G73" s="791"/>
      <c r="H73" s="791"/>
      <c r="I73" s="791"/>
      <c r="J73" s="791"/>
      <c r="K73" s="791"/>
      <c r="L73" s="791"/>
    </row>
    <row r="74" spans="2:12" ht="15">
      <c r="B74" s="779"/>
      <c r="C74" s="779"/>
      <c r="D74" s="779"/>
      <c r="E74" s="779"/>
      <c r="F74" s="779"/>
      <c r="G74" s="779"/>
      <c r="H74" s="779"/>
      <c r="I74" s="779"/>
      <c r="J74" s="779"/>
      <c r="K74" s="779"/>
      <c r="L74" s="779"/>
    </row>
    <row r="75" spans="2:12" ht="15">
      <c r="B75" s="779"/>
      <c r="C75" s="790" t="s">
        <v>583</v>
      </c>
      <c r="D75" s="779"/>
      <c r="E75" s="779"/>
      <c r="F75" s="779"/>
      <c r="G75" s="779"/>
      <c r="H75" s="779"/>
      <c r="I75" s="779"/>
      <c r="J75" s="779"/>
      <c r="K75" s="779"/>
      <c r="L75" s="779"/>
    </row>
    <row r="76" spans="2:12" ht="15">
      <c r="B76" s="779"/>
      <c r="C76" s="779"/>
      <c r="D76" s="779"/>
      <c r="E76" s="779"/>
      <c r="F76" s="779"/>
      <c r="G76" s="779"/>
      <c r="H76" s="779"/>
      <c r="I76" s="779"/>
      <c r="J76" s="779"/>
      <c r="K76" s="779"/>
      <c r="L76" s="779"/>
    </row>
    <row r="77" spans="2:12" ht="15">
      <c r="B77" s="779" t="s">
        <v>487</v>
      </c>
      <c r="C77" s="779" t="s">
        <v>549</v>
      </c>
      <c r="D77" s="779"/>
      <c r="E77" s="779"/>
      <c r="F77" s="779"/>
      <c r="G77" s="779"/>
      <c r="H77" s="779"/>
      <c r="I77" s="779"/>
      <c r="J77" s="779"/>
      <c r="K77" s="779"/>
      <c r="L77" s="779"/>
    </row>
    <row r="78" spans="2:12" ht="15">
      <c r="B78" s="779" t="s">
        <v>517</v>
      </c>
      <c r="C78" s="781" t="s">
        <v>550</v>
      </c>
      <c r="D78" s="779"/>
      <c r="E78" s="779"/>
      <c r="F78" s="779"/>
      <c r="G78" s="779"/>
      <c r="H78" s="779"/>
      <c r="I78" s="779"/>
      <c r="J78" s="779"/>
      <c r="K78" s="779"/>
      <c r="L78" s="779"/>
    </row>
    <row r="79" spans="2:12" ht="15">
      <c r="B79" s="779" t="s">
        <v>489</v>
      </c>
      <c r="C79" s="781" t="s">
        <v>551</v>
      </c>
      <c r="D79" s="779"/>
      <c r="E79" s="779"/>
      <c r="F79" s="779"/>
      <c r="G79" s="779"/>
      <c r="H79" s="779"/>
      <c r="I79" s="779"/>
      <c r="J79" s="779"/>
      <c r="K79" s="779"/>
      <c r="L79" s="779"/>
    </row>
    <row r="80" spans="2:12" ht="15">
      <c r="B80" s="779" t="s">
        <v>518</v>
      </c>
      <c r="C80" s="781" t="s">
        <v>552</v>
      </c>
      <c r="D80" s="779"/>
      <c r="E80" s="779"/>
      <c r="F80" s="779"/>
      <c r="G80" s="779"/>
      <c r="H80" s="779"/>
      <c r="I80" s="779"/>
      <c r="J80" s="779"/>
      <c r="K80" s="779"/>
      <c r="L80" s="779"/>
    </row>
    <row r="81" spans="2:12" ht="15">
      <c r="B81" s="779" t="s">
        <v>519</v>
      </c>
      <c r="C81" s="781" t="s">
        <v>553</v>
      </c>
      <c r="D81" s="779"/>
      <c r="E81" s="779"/>
      <c r="F81" s="779"/>
      <c r="G81" s="779"/>
      <c r="H81" s="779"/>
      <c r="I81" s="779"/>
      <c r="J81" s="779"/>
      <c r="K81" s="779"/>
      <c r="L81" s="779"/>
    </row>
    <row r="82" spans="2:12" ht="15">
      <c r="B82" s="779" t="s">
        <v>520</v>
      </c>
      <c r="C82" s="781" t="s">
        <v>554</v>
      </c>
      <c r="D82" s="779"/>
      <c r="E82" s="779"/>
      <c r="F82" s="779"/>
      <c r="G82" s="779"/>
      <c r="H82" s="779"/>
      <c r="I82" s="779"/>
      <c r="J82" s="779"/>
      <c r="K82" s="779"/>
      <c r="L82" s="779"/>
    </row>
    <row r="83" spans="2:12" ht="15">
      <c r="B83" s="779" t="s">
        <v>521</v>
      </c>
      <c r="C83" s="781" t="s">
        <v>555</v>
      </c>
      <c r="D83" s="779"/>
      <c r="E83" s="779"/>
      <c r="F83" s="779"/>
      <c r="G83" s="779"/>
      <c r="H83" s="779"/>
      <c r="I83" s="779"/>
      <c r="J83" s="779"/>
      <c r="K83" s="779"/>
      <c r="L83" s="779"/>
    </row>
    <row r="84" spans="2:12" ht="15">
      <c r="B84" s="779" t="s">
        <v>522</v>
      </c>
      <c r="C84" s="781" t="s">
        <v>556</v>
      </c>
      <c r="D84" s="779"/>
      <c r="E84" s="779"/>
      <c r="F84" s="779"/>
      <c r="G84" s="779"/>
      <c r="H84" s="779"/>
      <c r="I84" s="779"/>
      <c r="J84" s="779"/>
      <c r="K84" s="779"/>
      <c r="L84" s="779"/>
    </row>
    <row r="85" spans="2:12" ht="15">
      <c r="B85" s="779" t="s">
        <v>523</v>
      </c>
      <c r="C85" s="781" t="s">
        <v>557</v>
      </c>
      <c r="D85" s="779"/>
      <c r="E85" s="779"/>
      <c r="F85" s="779"/>
      <c r="G85" s="779"/>
      <c r="H85" s="779"/>
      <c r="I85" s="779"/>
      <c r="J85" s="779"/>
      <c r="K85" s="779"/>
      <c r="L85" s="779"/>
    </row>
    <row r="86" spans="2:12" ht="15">
      <c r="B86" s="779" t="s">
        <v>524</v>
      </c>
      <c r="C86" s="781" t="s">
        <v>558</v>
      </c>
      <c r="D86" s="779"/>
      <c r="E86" s="779"/>
      <c r="F86" s="779"/>
      <c r="G86" s="779"/>
      <c r="H86" s="779"/>
      <c r="I86" s="779"/>
      <c r="J86" s="779"/>
      <c r="K86" s="779"/>
      <c r="L86" s="779"/>
    </row>
    <row r="87" spans="2:12" ht="15">
      <c r="B87" s="779" t="s">
        <v>525</v>
      </c>
      <c r="C87" s="781" t="s">
        <v>559</v>
      </c>
      <c r="D87" s="779"/>
      <c r="E87" s="779"/>
      <c r="F87" s="779"/>
      <c r="G87" s="779"/>
      <c r="H87" s="779"/>
      <c r="I87" s="779"/>
      <c r="J87" s="779"/>
      <c r="K87" s="779"/>
      <c r="L87" s="779"/>
    </row>
    <row r="88" spans="2:12" ht="15">
      <c r="B88" s="779"/>
      <c r="C88" s="779"/>
      <c r="D88" s="779"/>
      <c r="E88" s="779"/>
      <c r="F88" s="779"/>
      <c r="G88" s="779"/>
      <c r="H88" s="779"/>
      <c r="I88" s="779"/>
      <c r="J88" s="779"/>
      <c r="K88" s="779"/>
      <c r="L88" s="779"/>
    </row>
    <row r="89" spans="2:12" ht="15.75">
      <c r="B89" s="305" t="s">
        <v>532</v>
      </c>
      <c r="C89" s="778" t="s">
        <v>533</v>
      </c>
      <c r="D89" s="305"/>
      <c r="E89" s="305"/>
      <c r="F89" s="779"/>
      <c r="G89" s="779"/>
      <c r="H89" s="779"/>
      <c r="I89" s="779"/>
      <c r="J89" s="779"/>
      <c r="K89" s="779"/>
      <c r="L89" s="779"/>
    </row>
    <row r="90" spans="2:12" ht="15">
      <c r="B90" s="779"/>
      <c r="C90" s="779"/>
      <c r="D90" s="779"/>
      <c r="E90" s="779"/>
      <c r="F90" s="779"/>
      <c r="G90" s="779"/>
      <c r="H90" s="779"/>
      <c r="I90" s="779"/>
      <c r="J90" s="779"/>
      <c r="K90" s="779"/>
      <c r="L90" s="779"/>
    </row>
    <row r="91" spans="2:12" ht="15.75">
      <c r="B91" s="779" t="s">
        <v>487</v>
      </c>
      <c r="C91" s="305" t="s">
        <v>560</v>
      </c>
      <c r="D91" s="779"/>
      <c r="E91" s="779"/>
      <c r="F91" s="779"/>
      <c r="G91" s="779"/>
      <c r="H91" s="779"/>
      <c r="I91" s="779"/>
      <c r="J91" s="779"/>
      <c r="K91" s="779"/>
      <c r="L91" s="779"/>
    </row>
    <row r="92" spans="2:12" ht="15.75">
      <c r="B92" s="779" t="s">
        <v>488</v>
      </c>
      <c r="C92" s="305" t="s">
        <v>561</v>
      </c>
      <c r="D92" s="779"/>
      <c r="E92" s="779"/>
      <c r="F92" s="779"/>
      <c r="G92" s="779"/>
      <c r="H92" s="779"/>
      <c r="I92" s="779"/>
      <c r="J92" s="782" t="s">
        <v>539</v>
      </c>
      <c r="K92" s="779"/>
      <c r="L92" s="779"/>
    </row>
    <row r="93" spans="2:12" ht="15.75">
      <c r="B93" s="779" t="s">
        <v>489</v>
      </c>
      <c r="C93" s="305" t="s">
        <v>562</v>
      </c>
      <c r="D93" s="779"/>
      <c r="E93" s="779"/>
      <c r="F93" s="779"/>
      <c r="G93" s="779"/>
      <c r="H93" s="779"/>
      <c r="I93" s="779"/>
      <c r="J93" s="779"/>
      <c r="K93" s="779"/>
      <c r="L93" s="779"/>
    </row>
    <row r="94" spans="2:12" ht="15">
      <c r="B94" s="779"/>
      <c r="C94" s="779" t="s">
        <v>526</v>
      </c>
      <c r="D94" s="779"/>
      <c r="E94" s="779"/>
      <c r="F94" s="779"/>
      <c r="G94" s="779"/>
      <c r="H94" s="779"/>
      <c r="I94" s="779"/>
      <c r="J94" s="779"/>
      <c r="K94" s="779"/>
      <c r="L94" s="779"/>
    </row>
    <row r="95" spans="2:12" ht="15">
      <c r="B95" s="779"/>
      <c r="C95" s="779"/>
      <c r="D95" s="779"/>
      <c r="E95" s="779"/>
      <c r="F95" s="779"/>
      <c r="G95" s="779"/>
      <c r="H95" s="779"/>
      <c r="I95" s="779"/>
      <c r="J95" s="779"/>
      <c r="K95" s="779"/>
      <c r="L95" s="779"/>
    </row>
    <row r="96" spans="2:12" ht="15.75">
      <c r="B96" s="305" t="s">
        <v>534</v>
      </c>
      <c r="C96" s="778" t="s">
        <v>535</v>
      </c>
      <c r="D96" s="305"/>
      <c r="E96" s="305"/>
      <c r="F96" s="779"/>
      <c r="G96" s="779"/>
      <c r="H96" s="779"/>
      <c r="I96" s="779"/>
      <c r="J96" s="779"/>
      <c r="K96" s="779"/>
      <c r="L96" s="779"/>
    </row>
    <row r="97" spans="2:12" ht="15">
      <c r="B97" s="779"/>
      <c r="C97" s="779"/>
      <c r="D97" s="779"/>
      <c r="E97" s="779"/>
      <c r="F97" s="779"/>
      <c r="G97" s="779"/>
      <c r="H97" s="779"/>
      <c r="I97" s="779"/>
      <c r="J97" s="779"/>
      <c r="K97" s="779"/>
      <c r="L97" s="779"/>
    </row>
    <row r="98" spans="2:12" ht="15">
      <c r="B98" s="779"/>
      <c r="C98" s="791" t="s">
        <v>563</v>
      </c>
      <c r="D98" s="791"/>
      <c r="E98" s="791"/>
      <c r="F98" s="791"/>
      <c r="G98" s="791"/>
      <c r="H98" s="791"/>
      <c r="I98" s="791"/>
      <c r="J98" s="791"/>
      <c r="K98" s="791"/>
      <c r="L98" s="791"/>
    </row>
    <row r="99" spans="2:12" ht="15">
      <c r="B99" s="779"/>
      <c r="C99" s="791"/>
      <c r="D99" s="791"/>
      <c r="E99" s="791"/>
      <c r="F99" s="791"/>
      <c r="G99" s="791"/>
      <c r="H99" s="791"/>
      <c r="I99" s="791"/>
      <c r="J99" s="791"/>
      <c r="K99" s="791"/>
      <c r="L99" s="791"/>
    </row>
    <row r="100" spans="2:12" ht="15">
      <c r="B100" s="779"/>
      <c r="C100" s="779" t="s">
        <v>527</v>
      </c>
      <c r="D100" s="779"/>
      <c r="E100" s="779"/>
      <c r="F100" s="779"/>
      <c r="G100" s="779"/>
      <c r="H100" s="779"/>
      <c r="I100" s="779"/>
      <c r="J100" s="779"/>
      <c r="K100" s="779"/>
      <c r="L100" s="779"/>
    </row>
    <row r="101" spans="2:12" ht="15">
      <c r="B101" s="779"/>
      <c r="C101" s="779"/>
      <c r="D101" s="779"/>
      <c r="E101" s="779"/>
      <c r="F101" s="779"/>
      <c r="G101" s="779"/>
      <c r="H101" s="779"/>
      <c r="I101" s="779"/>
      <c r="J101" s="779"/>
      <c r="K101" s="779"/>
      <c r="L101" s="779"/>
    </row>
    <row r="102" spans="2:12" ht="15.75">
      <c r="B102" s="305" t="s">
        <v>536</v>
      </c>
      <c r="C102" s="778" t="s">
        <v>537</v>
      </c>
      <c r="D102" s="779"/>
      <c r="E102" s="779"/>
      <c r="F102" s="779"/>
      <c r="G102" s="779"/>
      <c r="H102" s="779"/>
      <c r="I102" s="779"/>
      <c r="J102" s="779"/>
      <c r="K102" s="779"/>
      <c r="L102" s="779"/>
    </row>
    <row r="103" spans="2:12" ht="15">
      <c r="B103" s="779"/>
      <c r="C103" s="779"/>
      <c r="D103" s="779"/>
      <c r="E103" s="779"/>
      <c r="F103" s="779"/>
      <c r="G103" s="779"/>
      <c r="H103" s="779"/>
      <c r="I103" s="779"/>
      <c r="J103" s="779"/>
      <c r="K103" s="779"/>
      <c r="L103" s="779"/>
    </row>
    <row r="104" spans="2:12" ht="15">
      <c r="B104" s="779"/>
      <c r="C104" s="779" t="s">
        <v>564</v>
      </c>
      <c r="D104" s="779"/>
      <c r="E104" s="779"/>
      <c r="F104" s="779"/>
      <c r="G104" s="779"/>
      <c r="H104" s="779"/>
      <c r="I104" s="779"/>
      <c r="J104" s="779"/>
      <c r="K104" s="779"/>
      <c r="L104" s="779"/>
    </row>
    <row r="105" spans="2:12" ht="15">
      <c r="B105" s="779"/>
      <c r="C105" s="779" t="s">
        <v>527</v>
      </c>
      <c r="D105" s="779"/>
      <c r="E105" s="779"/>
      <c r="F105" s="779"/>
      <c r="G105" s="779"/>
      <c r="H105" s="779"/>
      <c r="I105" s="779"/>
      <c r="J105" s="779"/>
      <c r="K105" s="779"/>
      <c r="L105" s="779"/>
    </row>
    <row r="106" spans="2:12" ht="15">
      <c r="B106" s="779"/>
      <c r="C106" s="779"/>
      <c r="D106" s="779"/>
      <c r="E106" s="779"/>
      <c r="F106" s="779"/>
      <c r="G106" s="779"/>
      <c r="H106" s="779"/>
      <c r="I106" s="779"/>
      <c r="J106" s="779"/>
      <c r="K106" s="779"/>
      <c r="L106" s="779"/>
    </row>
    <row r="107" spans="2:12" ht="15.75">
      <c r="B107" s="305" t="s">
        <v>538</v>
      </c>
      <c r="C107" s="778" t="s">
        <v>540</v>
      </c>
      <c r="D107" s="779"/>
      <c r="E107" s="779"/>
      <c r="F107" s="779"/>
      <c r="G107" s="779"/>
      <c r="H107" s="779"/>
      <c r="I107" s="779"/>
      <c r="J107" s="779"/>
      <c r="K107" s="779"/>
      <c r="L107" s="779"/>
    </row>
    <row r="108" spans="2:12" ht="7.5" customHeight="1">
      <c r="B108" s="779"/>
      <c r="C108" s="779"/>
      <c r="D108" s="779"/>
      <c r="E108" s="779"/>
      <c r="F108" s="779"/>
      <c r="G108" s="779"/>
      <c r="H108" s="779"/>
      <c r="I108" s="779"/>
      <c r="J108" s="779"/>
      <c r="K108" s="779"/>
      <c r="L108" s="779"/>
    </row>
    <row r="109" spans="2:12" ht="15">
      <c r="B109" s="779"/>
      <c r="C109" s="779" t="s">
        <v>565</v>
      </c>
      <c r="D109" s="779"/>
      <c r="E109" s="779"/>
      <c r="F109" s="779"/>
      <c r="G109" s="779"/>
      <c r="H109" s="779"/>
      <c r="I109" s="779"/>
      <c r="J109" s="779"/>
      <c r="K109" s="779"/>
      <c r="L109" s="779"/>
    </row>
    <row r="110" spans="2:12" ht="15">
      <c r="B110" s="779"/>
      <c r="C110" s="779"/>
      <c r="D110" s="779"/>
      <c r="E110" s="779"/>
      <c r="F110" s="779"/>
      <c r="G110" s="779"/>
      <c r="H110" s="779"/>
      <c r="I110" s="779"/>
      <c r="J110" s="779"/>
      <c r="K110" s="779"/>
      <c r="L110" s="779"/>
    </row>
    <row r="111" spans="2:12" ht="15">
      <c r="B111" s="779"/>
      <c r="C111" s="779"/>
      <c r="D111" s="779"/>
      <c r="E111" s="779"/>
      <c r="F111" s="779"/>
      <c r="G111" s="779"/>
      <c r="H111" s="779"/>
      <c r="I111" s="779"/>
      <c r="J111" s="779"/>
      <c r="K111" s="779"/>
      <c r="L111" s="779"/>
    </row>
    <row r="112" spans="2:12" ht="15">
      <c r="B112" s="779"/>
      <c r="C112" s="779"/>
      <c r="D112" s="779"/>
      <c r="E112" s="779"/>
      <c r="F112" s="779"/>
      <c r="G112" s="779"/>
      <c r="H112" s="779"/>
      <c r="I112" s="779"/>
      <c r="J112" s="779"/>
      <c r="K112" s="779"/>
      <c r="L112" s="779"/>
    </row>
    <row r="113" spans="2:12" ht="15">
      <c r="B113" s="779" t="s">
        <v>13</v>
      </c>
      <c r="C113" s="779"/>
      <c r="D113" s="779"/>
      <c r="E113" s="779"/>
      <c r="F113" s="779"/>
      <c r="G113" s="779"/>
      <c r="H113" s="779"/>
      <c r="I113" s="779"/>
      <c r="J113" s="779"/>
      <c r="K113" s="779"/>
      <c r="L113" s="779"/>
    </row>
    <row r="114" spans="2:12" ht="15">
      <c r="B114" s="779"/>
      <c r="C114" s="779"/>
      <c r="D114" s="779"/>
      <c r="E114" s="779"/>
      <c r="F114" s="779"/>
      <c r="G114" s="779"/>
      <c r="H114" s="779"/>
      <c r="I114" s="779"/>
      <c r="J114" s="779"/>
      <c r="K114" s="779"/>
      <c r="L114" s="779"/>
    </row>
    <row r="115" spans="2:12" ht="15">
      <c r="B115" s="779"/>
      <c r="C115" s="779"/>
      <c r="D115" s="779"/>
      <c r="E115" s="779"/>
      <c r="F115" s="779"/>
      <c r="G115" s="779"/>
      <c r="H115" s="779"/>
      <c r="I115" s="779"/>
      <c r="J115" s="779"/>
      <c r="K115" s="779"/>
      <c r="L115" s="779"/>
    </row>
    <row r="116" spans="2:12" ht="15">
      <c r="B116" s="779"/>
      <c r="C116" s="779"/>
      <c r="D116" s="779"/>
      <c r="E116" s="779"/>
      <c r="F116" s="779"/>
      <c r="G116" s="779"/>
      <c r="H116" s="779"/>
      <c r="I116" s="779"/>
      <c r="J116" s="779"/>
      <c r="K116" s="779"/>
      <c r="L116" s="779"/>
    </row>
    <row r="117" spans="2:12" ht="15">
      <c r="B117" s="779"/>
      <c r="C117" s="779"/>
      <c r="D117" s="779"/>
      <c r="E117" s="779"/>
      <c r="F117" s="779"/>
      <c r="G117" s="779"/>
      <c r="H117" s="779"/>
      <c r="I117" s="779"/>
      <c r="J117" s="779"/>
      <c r="K117" s="779"/>
      <c r="L117" s="779"/>
    </row>
  </sheetData>
  <sheetProtection password="83AF" sheet="1" objects="1" scenarios="1"/>
  <mergeCells count="4">
    <mergeCell ref="C98:L99"/>
    <mergeCell ref="B23:L24"/>
    <mergeCell ref="C58:L59"/>
    <mergeCell ref="C72:L73"/>
  </mergeCells>
  <printOptions/>
  <pageMargins left="0.75" right="0.75" top="1" bottom="1" header="0.5" footer="0.5"/>
  <pageSetup horizontalDpi="600" verticalDpi="600" orientation="portrait" scale="80" r:id="rId2"/>
  <colBreaks count="1" manualBreakCount="1">
    <brk id="13" max="65535" man="1"/>
  </colBreaks>
  <drawing r:id="rId1"/>
</worksheet>
</file>

<file path=xl/worksheets/sheet10.xml><?xml version="1.0" encoding="utf-8"?>
<worksheet xmlns="http://schemas.openxmlformats.org/spreadsheetml/2006/main" xmlns:r="http://schemas.openxmlformats.org/officeDocument/2006/relationships">
  <dimension ref="A1:H65"/>
  <sheetViews>
    <sheetView showGridLines="0" zoomScale="92" zoomScaleNormal="92" workbookViewId="0" topLeftCell="A1">
      <selection activeCell="J15" sqref="J15"/>
    </sheetView>
  </sheetViews>
  <sheetFormatPr defaultColWidth="9.140625" defaultRowHeight="12.75"/>
  <cols>
    <col min="1" max="1" width="18.8515625" style="0" customWidth="1"/>
    <col min="2" max="7" width="14.8515625" style="0" customWidth="1"/>
  </cols>
  <sheetData>
    <row r="1" spans="1:7" ht="18">
      <c r="A1" s="3"/>
      <c r="B1" s="250" t="s">
        <v>245</v>
      </c>
      <c r="C1" s="3"/>
      <c r="D1" s="3"/>
      <c r="E1" s="3"/>
      <c r="F1" s="3"/>
      <c r="G1" s="3"/>
    </row>
    <row r="2" spans="1:7" ht="12.75">
      <c r="A2" s="3"/>
      <c r="B2" s="3"/>
      <c r="C2" s="3"/>
      <c r="D2" s="3"/>
      <c r="E2" s="3"/>
      <c r="F2" s="3"/>
      <c r="G2" s="3"/>
    </row>
    <row r="3" spans="1:7" ht="12.75">
      <c r="A3" s="3"/>
      <c r="B3" s="3"/>
      <c r="C3" s="3"/>
      <c r="D3" s="3"/>
      <c r="E3" s="3"/>
      <c r="F3" s="3"/>
      <c r="G3" s="3"/>
    </row>
    <row r="4" spans="1:7" s="6" customFormat="1" ht="15.75">
      <c r="A4" s="226" t="s">
        <v>246</v>
      </c>
      <c r="B4" s="227"/>
      <c r="C4" s="10"/>
      <c r="D4" s="10"/>
      <c r="E4" s="10"/>
      <c r="F4" s="10"/>
      <c r="G4" s="10"/>
    </row>
    <row r="5" spans="1:7" s="6" customFormat="1" ht="25.5">
      <c r="A5" s="228"/>
      <c r="B5" s="214" t="s">
        <v>247</v>
      </c>
      <c r="C5" s="215"/>
      <c r="D5" s="214" t="s">
        <v>248</v>
      </c>
      <c r="E5" s="215"/>
      <c r="F5" s="214" t="s">
        <v>249</v>
      </c>
      <c r="G5" s="215"/>
    </row>
    <row r="6" spans="1:7" s="6" customFormat="1" ht="28.5" customHeight="1">
      <c r="A6" s="230" t="s">
        <v>250</v>
      </c>
      <c r="B6" s="216" t="s">
        <v>251</v>
      </c>
      <c r="C6" s="216" t="s">
        <v>252</v>
      </c>
      <c r="D6" s="216" t="s">
        <v>251</v>
      </c>
      <c r="E6" s="216" t="s">
        <v>252</v>
      </c>
      <c r="F6" s="216" t="s">
        <v>251</v>
      </c>
      <c r="G6" s="216" t="s">
        <v>252</v>
      </c>
    </row>
    <row r="7" spans="1:7" s="6" customFormat="1" ht="12.75">
      <c r="A7" s="217" t="s">
        <v>128</v>
      </c>
      <c r="B7" s="552">
        <v>0</v>
      </c>
      <c r="C7" s="552">
        <v>0</v>
      </c>
      <c r="D7" s="553">
        <v>0</v>
      </c>
      <c r="E7" s="553">
        <v>0</v>
      </c>
      <c r="F7" s="553">
        <v>0</v>
      </c>
      <c r="G7" s="553">
        <v>0</v>
      </c>
    </row>
    <row r="8" spans="1:7" s="6" customFormat="1" ht="13.5" thickBot="1">
      <c r="A8" s="217" t="s">
        <v>129</v>
      </c>
      <c r="B8" s="554">
        <v>0</v>
      </c>
      <c r="C8" s="554">
        <v>0</v>
      </c>
      <c r="D8" s="555">
        <v>0</v>
      </c>
      <c r="E8" s="555">
        <v>0</v>
      </c>
      <c r="F8" s="555">
        <v>0</v>
      </c>
      <c r="G8" s="555">
        <v>0</v>
      </c>
    </row>
    <row r="9" spans="1:7" s="6" customFormat="1" ht="13.5" thickTop="1">
      <c r="A9" s="285" t="s">
        <v>152</v>
      </c>
      <c r="B9" s="457">
        <f aca="true" t="shared" si="0" ref="B9:G9">B7+B8</f>
        <v>0</v>
      </c>
      <c r="C9" s="457">
        <f t="shared" si="0"/>
        <v>0</v>
      </c>
      <c r="D9" s="457">
        <f t="shared" si="0"/>
        <v>0</v>
      </c>
      <c r="E9" s="457">
        <f t="shared" si="0"/>
        <v>0</v>
      </c>
      <c r="F9" s="457">
        <f t="shared" si="0"/>
        <v>0</v>
      </c>
      <c r="G9" s="457">
        <f t="shared" si="0"/>
        <v>0</v>
      </c>
    </row>
    <row r="10" spans="1:7" s="6" customFormat="1" ht="12.75">
      <c r="A10" s="278"/>
      <c r="B10" s="277"/>
      <c r="C10" s="277"/>
      <c r="D10" s="277"/>
      <c r="E10" s="277"/>
      <c r="F10" s="277"/>
      <c r="G10" s="277"/>
    </row>
    <row r="11" spans="1:7" s="4" customFormat="1" ht="12.75">
      <c r="A11" s="271" t="s">
        <v>253</v>
      </c>
      <c r="B11" s="272"/>
      <c r="C11" s="270"/>
      <c r="D11" s="272"/>
      <c r="E11" s="270"/>
      <c r="F11" s="272"/>
      <c r="G11" s="270"/>
    </row>
    <row r="12" spans="1:7" s="6" customFormat="1" ht="12.75">
      <c r="A12" s="218" t="s">
        <v>254</v>
      </c>
      <c r="B12" s="457">
        <f>B9+ABS(C9)</f>
        <v>0</v>
      </c>
      <c r="C12" s="458"/>
      <c r="D12" s="457">
        <f>D9+ABS(E9)</f>
        <v>0</v>
      </c>
      <c r="E12" s="459"/>
      <c r="F12" s="457">
        <f>F9+ABS(G9)</f>
        <v>0</v>
      </c>
      <c r="G12" s="251"/>
    </row>
    <row r="13" spans="1:7" s="6" customFormat="1" ht="12.75">
      <c r="A13" s="218" t="s">
        <v>255</v>
      </c>
      <c r="B13" s="219">
        <v>0.05</v>
      </c>
      <c r="C13" s="273"/>
      <c r="D13" s="220">
        <v>0.1</v>
      </c>
      <c r="E13" s="274"/>
      <c r="F13" s="220">
        <v>0.2</v>
      </c>
      <c r="G13" s="251"/>
    </row>
    <row r="14" spans="1:7" s="6" customFormat="1" ht="13.5" thickBot="1">
      <c r="A14" s="284" t="s">
        <v>256</v>
      </c>
      <c r="B14" s="460">
        <f>B13*B12</f>
        <v>0</v>
      </c>
      <c r="C14" s="461"/>
      <c r="D14" s="460">
        <f>D13*D12</f>
        <v>0</v>
      </c>
      <c r="E14" s="459"/>
      <c r="F14" s="460">
        <f>F13*F12</f>
        <v>0</v>
      </c>
      <c r="G14" s="251"/>
    </row>
    <row r="15" spans="1:7" s="6" customFormat="1" ht="13.5" thickTop="1">
      <c r="A15" s="3"/>
      <c r="B15" s="268"/>
      <c r="C15" s="275"/>
      <c r="D15" s="268"/>
      <c r="E15" s="276"/>
      <c r="F15" s="268"/>
      <c r="G15" s="10"/>
    </row>
    <row r="16" spans="1:7" s="6" customFormat="1" ht="25.5">
      <c r="A16" s="269" t="s">
        <v>257</v>
      </c>
      <c r="B16" s="232" t="s">
        <v>258</v>
      </c>
      <c r="C16" s="233" t="s">
        <v>259</v>
      </c>
      <c r="D16" s="232" t="s">
        <v>260</v>
      </c>
      <c r="E16" s="229" t="s">
        <v>261</v>
      </c>
      <c r="F16" s="232" t="s">
        <v>256</v>
      </c>
      <c r="G16" s="251"/>
    </row>
    <row r="17" spans="1:7" s="6" customFormat="1" ht="12.75">
      <c r="A17" s="218" t="s">
        <v>128</v>
      </c>
      <c r="B17" s="456">
        <f>B7+D7+F7</f>
        <v>0</v>
      </c>
      <c r="C17" s="456">
        <f>C7+E7+G7</f>
        <v>0</v>
      </c>
      <c r="D17" s="462">
        <f>ABS(B17-ABS(C17))</f>
        <v>0</v>
      </c>
      <c r="E17" s="234">
        <v>0.2</v>
      </c>
      <c r="F17" s="456">
        <f>+D17*E17</f>
        <v>0</v>
      </c>
      <c r="G17" s="251"/>
    </row>
    <row r="18" spans="1:7" s="6" customFormat="1" ht="12.75">
      <c r="A18" s="218" t="s">
        <v>129</v>
      </c>
      <c r="B18" s="463">
        <f>B8+D8+F8</f>
        <v>0</v>
      </c>
      <c r="C18" s="463">
        <f>C8+E8+G8</f>
        <v>0</v>
      </c>
      <c r="D18" s="462">
        <f>ABS(B18-ABS(C18))</f>
        <v>0</v>
      </c>
      <c r="E18" s="234">
        <v>0.1</v>
      </c>
      <c r="F18" s="463">
        <f>+D18*E18</f>
        <v>0</v>
      </c>
      <c r="G18" s="251"/>
    </row>
    <row r="19" spans="1:7" s="6" customFormat="1" ht="13.5" thickBot="1">
      <c r="A19"/>
      <c r="B19" s="264"/>
      <c r="C19" s="265"/>
      <c r="D19" s="266"/>
      <c r="E19" s="16" t="s">
        <v>262</v>
      </c>
      <c r="F19" s="464">
        <f>SUM(F17:F18)</f>
        <v>0</v>
      </c>
      <c r="G19" s="10"/>
    </row>
    <row r="20" spans="1:7" s="8" customFormat="1" ht="12.75" customHeight="1" thickTop="1">
      <c r="A20" s="245"/>
      <c r="B20" s="245"/>
      <c r="C20" s="245"/>
      <c r="D20" s="12"/>
      <c r="E20" s="12"/>
      <c r="F20" s="267"/>
      <c r="G20" s="12"/>
    </row>
    <row r="21" spans="1:7" s="7" customFormat="1" ht="30.75" customHeight="1">
      <c r="A21" s="231" t="s">
        <v>263</v>
      </c>
      <c r="B21" s="216" t="s">
        <v>251</v>
      </c>
      <c r="C21" s="216" t="s">
        <v>259</v>
      </c>
      <c r="D21" s="222" t="s">
        <v>260</v>
      </c>
      <c r="E21" s="222" t="s">
        <v>261</v>
      </c>
      <c r="F21" s="222" t="s">
        <v>256</v>
      </c>
      <c r="G21" s="252"/>
    </row>
    <row r="22" spans="1:7" s="7" customFormat="1" ht="19.5" customHeight="1">
      <c r="A22" s="253" t="s">
        <v>264</v>
      </c>
      <c r="B22" s="216"/>
      <c r="C22" s="216"/>
      <c r="D22" s="222"/>
      <c r="E22" s="222"/>
      <c r="F22" s="222"/>
      <c r="G22" s="252"/>
    </row>
    <row r="23" spans="1:7" s="6" customFormat="1" ht="12.75" customHeight="1">
      <c r="A23" s="218" t="s">
        <v>265</v>
      </c>
      <c r="B23" s="556">
        <v>0</v>
      </c>
      <c r="C23" s="556">
        <v>0</v>
      </c>
      <c r="D23" s="462">
        <f>ABS(B23-ABS(C23))</f>
        <v>0</v>
      </c>
      <c r="E23" s="234">
        <v>0.1</v>
      </c>
      <c r="F23" s="462">
        <f>+E23*D23</f>
        <v>0</v>
      </c>
      <c r="G23" s="251"/>
    </row>
    <row r="24" spans="1:7" s="6" customFormat="1" ht="12.75" customHeight="1">
      <c r="A24" s="218" t="s">
        <v>266</v>
      </c>
      <c r="B24" s="557">
        <v>0</v>
      </c>
      <c r="C24" s="557">
        <v>0</v>
      </c>
      <c r="D24" s="462">
        <f>ABS(B24-ABS(C24))</f>
        <v>0</v>
      </c>
      <c r="E24" s="234">
        <v>0.13</v>
      </c>
      <c r="F24" s="462">
        <f>+E24*D24</f>
        <v>0</v>
      </c>
      <c r="G24" s="251"/>
    </row>
    <row r="25" spans="1:7" s="6" customFormat="1" ht="12.75" customHeight="1">
      <c r="A25" s="218" t="s">
        <v>267</v>
      </c>
      <c r="B25" s="557">
        <v>0</v>
      </c>
      <c r="C25" s="557">
        <v>0</v>
      </c>
      <c r="D25" s="462">
        <f>ABS(B25-ABS(C25))</f>
        <v>0</v>
      </c>
      <c r="E25" s="234">
        <v>0.1</v>
      </c>
      <c r="F25" s="462">
        <f>+E25*D25</f>
        <v>0</v>
      </c>
      <c r="G25" s="251"/>
    </row>
    <row r="26" spans="1:7" s="6" customFormat="1" ht="12.75" customHeight="1">
      <c r="A26" s="218" t="s">
        <v>268</v>
      </c>
      <c r="B26" s="558">
        <v>0</v>
      </c>
      <c r="C26" s="558">
        <v>0</v>
      </c>
      <c r="D26" s="462">
        <f>ABS(B26-ABS(C26))</f>
        <v>0</v>
      </c>
      <c r="E26" s="234">
        <v>0.2</v>
      </c>
      <c r="F26" s="465">
        <f>+E26*D26</f>
        <v>0</v>
      </c>
      <c r="G26" s="251"/>
    </row>
    <row r="27" spans="1:7" s="6" customFormat="1" ht="12.75" customHeight="1" thickBot="1">
      <c r="A27"/>
      <c r="B27" s="221"/>
      <c r="C27" s="221"/>
      <c r="D27" s="258"/>
      <c r="E27" s="16" t="s">
        <v>262</v>
      </c>
      <c r="F27" s="466">
        <f>SUM(F23:F26)</f>
        <v>0</v>
      </c>
      <c r="G27" s="10"/>
    </row>
    <row r="28" spans="1:7" s="6" customFormat="1" ht="12.75" customHeight="1" thickBot="1" thickTop="1">
      <c r="A28" s="235"/>
      <c r="B28" s="221"/>
      <c r="C28" s="221"/>
      <c r="D28" s="258"/>
      <c r="E28" s="244"/>
      <c r="F28" s="467"/>
      <c r="G28" s="10"/>
    </row>
    <row r="29" spans="1:7" s="6" customFormat="1" ht="12.75" customHeight="1" thickBot="1" thickTop="1">
      <c r="A29"/>
      <c r="B29" s="259"/>
      <c r="C29" s="243" t="s">
        <v>269</v>
      </c>
      <c r="D29" s="10"/>
      <c r="E29" s="10"/>
      <c r="F29" s="468">
        <f>+F27+F19+F14+D14+B14</f>
        <v>0</v>
      </c>
      <c r="G29" s="10"/>
    </row>
    <row r="30" spans="1:7" s="6" customFormat="1" ht="12.75" customHeight="1" thickTop="1">
      <c r="A30" s="243"/>
      <c r="B30" s="259"/>
      <c r="C30" s="236"/>
      <c r="D30" s="10"/>
      <c r="E30" s="10"/>
      <c r="F30" s="258"/>
      <c r="G30" s="10"/>
    </row>
    <row r="31" spans="1:7" s="6" customFormat="1" ht="12.75" customHeight="1">
      <c r="A31" s="243"/>
      <c r="B31" s="259"/>
      <c r="C31" s="236"/>
      <c r="D31" s="10"/>
      <c r="E31" s="10"/>
      <c r="F31" s="258"/>
      <c r="G31" s="10"/>
    </row>
    <row r="32" spans="1:7" s="6" customFormat="1" ht="12.75" customHeight="1">
      <c r="A32" s="235"/>
      <c r="B32" s="236"/>
      <c r="C32" s="236"/>
      <c r="D32" s="10"/>
      <c r="E32" s="10"/>
      <c r="F32" s="10"/>
      <c r="G32" s="10"/>
    </row>
    <row r="33" spans="1:8" ht="15.75">
      <c r="A33" s="226" t="s">
        <v>270</v>
      </c>
      <c r="B33" s="10"/>
      <c r="C33" s="10"/>
      <c r="D33" s="10"/>
      <c r="E33" s="10"/>
      <c r="F33" s="10"/>
      <c r="G33" s="10"/>
      <c r="H33" s="6"/>
    </row>
    <row r="34" spans="1:8" ht="12.75">
      <c r="A34" s="279"/>
      <c r="B34" s="282"/>
      <c r="C34" s="3"/>
      <c r="D34" s="3"/>
      <c r="E34" s="242"/>
      <c r="F34" s="223" t="s">
        <v>63</v>
      </c>
      <c r="G34" s="10"/>
      <c r="H34" s="6"/>
    </row>
    <row r="35" spans="1:8" ht="15" customHeight="1">
      <c r="A35" s="280" t="s">
        <v>271</v>
      </c>
      <c r="B35" s="8"/>
      <c r="C35" s="8"/>
      <c r="D35" s="8"/>
      <c r="E35" s="281"/>
      <c r="F35" s="469">
        <v>0</v>
      </c>
      <c r="G35" s="10"/>
      <c r="H35" s="6"/>
    </row>
    <row r="36" spans="1:8" ht="13.5" thickBot="1">
      <c r="A36" s="279"/>
      <c r="B36" s="240"/>
      <c r="C36" s="240"/>
      <c r="D36" s="3"/>
      <c r="E36" s="242"/>
      <c r="F36" s="224">
        <v>0.3</v>
      </c>
      <c r="G36" s="10"/>
      <c r="H36" s="6"/>
    </row>
    <row r="37" spans="1:8" ht="13.5" thickBot="1">
      <c r="A37" s="6"/>
      <c r="B37" s="240"/>
      <c r="C37" s="243" t="s">
        <v>272</v>
      </c>
      <c r="D37" s="6"/>
      <c r="E37" s="227"/>
      <c r="F37" s="470">
        <f>F36*F35</f>
        <v>0</v>
      </c>
      <c r="G37" s="10"/>
      <c r="H37" s="6"/>
    </row>
    <row r="38" spans="1:8" ht="12.75">
      <c r="A38" s="241"/>
      <c r="B38" s="238"/>
      <c r="C38" s="239"/>
      <c r="E38" s="227"/>
      <c r="F38" s="10"/>
      <c r="G38" s="10"/>
      <c r="H38" s="6"/>
    </row>
    <row r="39" spans="1:8" ht="12.75">
      <c r="A39" s="241"/>
      <c r="B39" s="238"/>
      <c r="C39" s="239"/>
      <c r="E39" s="227"/>
      <c r="F39" s="10"/>
      <c r="G39" s="10"/>
      <c r="H39" s="6"/>
    </row>
    <row r="40" spans="1:8" ht="12.75">
      <c r="A40" s="241"/>
      <c r="B40" s="238"/>
      <c r="C40" s="239"/>
      <c r="D40" s="10"/>
      <c r="E40" s="227"/>
      <c r="F40" s="10"/>
      <c r="G40" s="10"/>
      <c r="H40" s="6"/>
    </row>
    <row r="41" spans="1:8" ht="15.75">
      <c r="A41" s="237" t="s">
        <v>273</v>
      </c>
      <c r="B41" s="238"/>
      <c r="C41" s="239"/>
      <c r="D41" s="10"/>
      <c r="E41" s="227"/>
      <c r="F41" s="10"/>
      <c r="G41" s="10"/>
      <c r="H41" s="240"/>
    </row>
    <row r="42" spans="1:8" ht="12.75">
      <c r="A42" s="241"/>
      <c r="B42" s="238"/>
      <c r="C42" s="246" t="s">
        <v>274</v>
      </c>
      <c r="D42" s="183"/>
      <c r="E42" s="286" t="s">
        <v>261</v>
      </c>
      <c r="F42" s="183" t="s">
        <v>262</v>
      </c>
      <c r="G42" s="251"/>
      <c r="H42" s="240"/>
    </row>
    <row r="43" spans="1:8" ht="13.5" customHeight="1">
      <c r="A43" s="260" t="s">
        <v>275</v>
      </c>
      <c r="B43" s="261"/>
      <c r="C43" s="560">
        <v>0</v>
      </c>
      <c r="D43" s="249" t="s">
        <v>276</v>
      </c>
      <c r="E43" s="234">
        <v>0.25</v>
      </c>
      <c r="F43" s="462">
        <f>+E43*C43</f>
        <v>0</v>
      </c>
      <c r="G43" s="251"/>
      <c r="H43" s="240"/>
    </row>
    <row r="44" spans="1:8" ht="12.75">
      <c r="A44" s="262" t="s">
        <v>277</v>
      </c>
      <c r="B44" s="263"/>
      <c r="C44" s="561">
        <v>0</v>
      </c>
      <c r="D44" s="249" t="s">
        <v>276</v>
      </c>
      <c r="E44" s="234">
        <v>0.5</v>
      </c>
      <c r="F44" s="462">
        <f>+E44*C44</f>
        <v>0</v>
      </c>
      <c r="G44" s="251"/>
      <c r="H44" s="240"/>
    </row>
    <row r="45" spans="1:8" ht="12.75">
      <c r="A45" s="262" t="s">
        <v>278</v>
      </c>
      <c r="B45" s="261"/>
      <c r="C45" s="561">
        <v>0</v>
      </c>
      <c r="D45" s="249" t="s">
        <v>279</v>
      </c>
      <c r="E45" s="234">
        <v>0.2</v>
      </c>
      <c r="F45" s="462">
        <f>+E45*C45</f>
        <v>0</v>
      </c>
      <c r="G45" s="251"/>
      <c r="H45" s="240"/>
    </row>
    <row r="46" spans="1:8" ht="12.75">
      <c r="A46" s="247" t="s">
        <v>280</v>
      </c>
      <c r="B46" s="248"/>
      <c r="C46" s="559">
        <v>0</v>
      </c>
      <c r="D46" s="249" t="s">
        <v>151</v>
      </c>
      <c r="E46" s="234">
        <v>1</v>
      </c>
      <c r="F46" s="462">
        <f>+E46*C46</f>
        <v>0</v>
      </c>
      <c r="G46" s="251"/>
      <c r="H46" s="240"/>
    </row>
    <row r="47" spans="1:8" ht="13.5" thickBot="1">
      <c r="A47" s="241"/>
      <c r="B47" s="238"/>
      <c r="C47" s="239"/>
      <c r="D47" s="10"/>
      <c r="E47" s="227"/>
      <c r="F47" s="471"/>
      <c r="G47" s="10"/>
      <c r="H47" s="240"/>
    </row>
    <row r="48" spans="3:8" ht="13.5" thickBot="1">
      <c r="C48" s="22" t="s">
        <v>281</v>
      </c>
      <c r="D48" s="10"/>
      <c r="E48" s="227"/>
      <c r="F48" s="470">
        <f>SUM(F43:F47)</f>
        <v>0</v>
      </c>
      <c r="G48" s="10"/>
      <c r="H48" s="240"/>
    </row>
    <row r="49" spans="1:8" ht="12.75">
      <c r="A49" s="22"/>
      <c r="C49" s="242"/>
      <c r="D49" s="10"/>
      <c r="E49" s="227"/>
      <c r="F49" s="471"/>
      <c r="G49" s="10"/>
      <c r="H49" s="240"/>
    </row>
    <row r="50" spans="1:8" ht="12.75">
      <c r="A50" s="22"/>
      <c r="C50" s="242"/>
      <c r="D50" s="10"/>
      <c r="E50" s="227"/>
      <c r="F50" s="471"/>
      <c r="G50" s="10"/>
      <c r="H50" s="240"/>
    </row>
    <row r="51" spans="1:8" ht="12.75">
      <c r="A51" s="16"/>
      <c r="B51" s="10"/>
      <c r="C51" s="254"/>
      <c r="D51" s="254"/>
      <c r="E51" s="254"/>
      <c r="F51" s="471"/>
      <c r="G51" s="10"/>
      <c r="H51" s="6"/>
    </row>
    <row r="52" spans="3:8" ht="18.75" thickBot="1">
      <c r="C52" s="255" t="s">
        <v>282</v>
      </c>
      <c r="E52" s="257"/>
      <c r="F52" s="472">
        <f>F29+F37+F48</f>
        <v>0</v>
      </c>
      <c r="G52" s="10"/>
      <c r="H52" s="6"/>
    </row>
    <row r="53" spans="1:8" ht="18.75" thickTop="1">
      <c r="A53" s="255"/>
      <c r="B53" s="256"/>
      <c r="C53" s="257"/>
      <c r="D53" s="257"/>
      <c r="E53" s="257"/>
      <c r="F53" s="283"/>
      <c r="G53" s="10"/>
      <c r="H53" s="6"/>
    </row>
    <row r="54" spans="1:7" ht="12.75">
      <c r="A54" s="3"/>
      <c r="B54" s="3"/>
      <c r="C54" s="3"/>
      <c r="D54" s="3"/>
      <c r="E54" s="3"/>
      <c r="F54" s="5"/>
      <c r="G54" s="3"/>
    </row>
    <row r="55" spans="1:7" ht="12.75">
      <c r="A55" s="3"/>
      <c r="B55" s="3"/>
      <c r="C55" s="3"/>
      <c r="D55" s="3"/>
      <c r="E55" s="3"/>
      <c r="F55" s="3"/>
      <c r="G55" s="3"/>
    </row>
    <row r="56" spans="1:7" ht="12.75">
      <c r="A56" s="3"/>
      <c r="B56" s="3"/>
      <c r="C56" s="3"/>
      <c r="D56" s="3"/>
      <c r="E56" s="3"/>
      <c r="F56" s="3"/>
      <c r="G56" s="3"/>
    </row>
    <row r="57" spans="1:7" ht="12.75">
      <c r="A57" s="3"/>
      <c r="B57" s="3"/>
      <c r="C57" s="3"/>
      <c r="D57" s="3"/>
      <c r="E57" s="3"/>
      <c r="F57" s="3"/>
      <c r="G57" s="3"/>
    </row>
    <row r="58" spans="1:7" ht="12.75">
      <c r="A58" s="3"/>
      <c r="B58" s="3"/>
      <c r="C58" s="3"/>
      <c r="D58" s="3"/>
      <c r="E58" s="3"/>
      <c r="F58" s="3"/>
      <c r="G58" s="3"/>
    </row>
    <row r="59" spans="1:7" ht="12.75">
      <c r="A59" s="3"/>
      <c r="B59" s="3"/>
      <c r="C59" s="3"/>
      <c r="D59" s="3"/>
      <c r="E59" s="3"/>
      <c r="F59" s="3"/>
      <c r="G59" s="3"/>
    </row>
    <row r="60" spans="1:7" ht="12.75">
      <c r="A60" s="3"/>
      <c r="B60" s="3"/>
      <c r="C60" s="3"/>
      <c r="D60" s="3"/>
      <c r="E60" s="3"/>
      <c r="F60" s="3"/>
      <c r="G60" s="3"/>
    </row>
    <row r="61" spans="1:7" ht="12.75">
      <c r="A61" s="3"/>
      <c r="B61" s="3"/>
      <c r="C61" s="3"/>
      <c r="D61" s="3"/>
      <c r="E61" s="3"/>
      <c r="F61" s="3"/>
      <c r="G61" s="3"/>
    </row>
    <row r="62" spans="1:7" ht="12.75">
      <c r="A62" s="3"/>
      <c r="B62" s="3"/>
      <c r="C62" s="3"/>
      <c r="D62" s="3"/>
      <c r="E62" s="3"/>
      <c r="F62" s="3"/>
      <c r="G62" s="3"/>
    </row>
    <row r="63" spans="1:7" ht="12.75">
      <c r="A63" s="3"/>
      <c r="B63" s="3"/>
      <c r="C63" s="3"/>
      <c r="D63" s="3"/>
      <c r="E63" s="3"/>
      <c r="F63" s="3"/>
      <c r="G63" s="3"/>
    </row>
    <row r="64" spans="1:7" ht="12.75">
      <c r="A64" s="3"/>
      <c r="B64" s="3"/>
      <c r="C64" s="3"/>
      <c r="D64" s="3"/>
      <c r="E64" s="3"/>
      <c r="F64" s="3"/>
      <c r="G64" s="3"/>
    </row>
    <row r="65" spans="1:7" ht="12.75">
      <c r="A65" s="3"/>
      <c r="B65" s="3"/>
      <c r="C65" s="3"/>
      <c r="D65" s="3"/>
      <c r="E65" s="3"/>
      <c r="F65" s="3"/>
      <c r="G65" s="3"/>
    </row>
  </sheetData>
  <sheetProtection password="E07E" sheet="1" objects="1" scenarios="1"/>
  <printOptions/>
  <pageMargins left="0.75" right="0.75" top="1" bottom="1" header="0.5" footer="0.5"/>
  <pageSetup horizontalDpi="300" verticalDpi="300" orientation="portrait" paperSize="9" scale="80" r:id="rId3"/>
  <headerFooter alignWithMargins="0">
    <oddHeader>&amp;C&amp;A</oddHeader>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F103"/>
  <sheetViews>
    <sheetView workbookViewId="0" topLeftCell="A1">
      <selection activeCell="B2" sqref="B2"/>
    </sheetView>
  </sheetViews>
  <sheetFormatPr defaultColWidth="9.140625" defaultRowHeight="12.75"/>
  <cols>
    <col min="1" max="1" width="47.140625" style="0" customWidth="1"/>
    <col min="2" max="2" width="22.28125" style="0" customWidth="1"/>
    <col min="3" max="3" width="14.140625" style="0" customWidth="1"/>
    <col min="4" max="4" width="14.7109375" style="0" customWidth="1"/>
    <col min="5" max="5" width="15.421875" style="0" customWidth="1"/>
  </cols>
  <sheetData>
    <row r="1" spans="1:5" ht="18" customHeight="1">
      <c r="A1" s="39" t="s">
        <v>384</v>
      </c>
      <c r="B1" s="39"/>
      <c r="C1" s="39"/>
      <c r="D1" s="578"/>
      <c r="E1" s="579"/>
    </row>
    <row r="2" spans="2:5" ht="12.75" customHeight="1">
      <c r="B2" s="580"/>
      <c r="C2" s="580"/>
      <c r="D2" s="580"/>
      <c r="E2" s="581"/>
    </row>
    <row r="3" spans="2:6" ht="12.75" customHeight="1">
      <c r="B3" s="582"/>
      <c r="C3" s="580"/>
      <c r="D3" s="580"/>
      <c r="E3" s="580"/>
      <c r="F3" t="s">
        <v>13</v>
      </c>
    </row>
    <row r="4" spans="1:5" ht="25.5" customHeight="1">
      <c r="A4" s="583" t="s">
        <v>385</v>
      </c>
      <c r="B4" s="584" t="s">
        <v>386</v>
      </c>
      <c r="C4" s="584" t="s">
        <v>387</v>
      </c>
      <c r="D4" s="584" t="s">
        <v>388</v>
      </c>
      <c r="E4" s="585" t="s">
        <v>389</v>
      </c>
    </row>
    <row r="5" spans="1:5" ht="12.75" customHeight="1">
      <c r="A5" s="586" t="s">
        <v>390</v>
      </c>
      <c r="B5" s="587"/>
      <c r="C5" s="587"/>
      <c r="D5" s="587"/>
      <c r="E5" s="580"/>
    </row>
    <row r="6" spans="1:5" ht="12.75" customHeight="1">
      <c r="A6" s="588" t="s">
        <v>391</v>
      </c>
      <c r="B6" s="589">
        <v>0</v>
      </c>
      <c r="C6" s="589">
        <v>0</v>
      </c>
      <c r="D6" s="590" t="s">
        <v>26</v>
      </c>
      <c r="E6" s="135"/>
    </row>
    <row r="7" spans="1:5" ht="12.75" customHeight="1">
      <c r="A7" s="591" t="s">
        <v>392</v>
      </c>
      <c r="B7" s="589">
        <v>0</v>
      </c>
      <c r="C7" s="589">
        <v>0</v>
      </c>
      <c r="D7" s="592">
        <f>(B7-C7)*50%</f>
        <v>0</v>
      </c>
      <c r="E7" s="593"/>
    </row>
    <row r="8" spans="1:5" ht="12.75" customHeight="1" thickBot="1">
      <c r="A8" s="594" t="s">
        <v>393</v>
      </c>
      <c r="B8" s="595">
        <v>0</v>
      </c>
      <c r="C8" s="595">
        <v>0</v>
      </c>
      <c r="D8" s="596">
        <f>B8-C8</f>
        <v>0</v>
      </c>
      <c r="E8" s="597">
        <f>D8+D7</f>
        <v>0</v>
      </c>
    </row>
    <row r="9" spans="1:5" ht="12.75" customHeight="1" thickTop="1">
      <c r="A9" s="598"/>
      <c r="B9" s="9"/>
      <c r="C9" s="9"/>
      <c r="D9" s="9"/>
      <c r="E9" s="593"/>
    </row>
    <row r="10" spans="1:5" ht="12.75" customHeight="1">
      <c r="A10" s="599" t="s">
        <v>394</v>
      </c>
      <c r="B10" s="9"/>
      <c r="C10" s="9"/>
      <c r="D10" s="9"/>
      <c r="E10" s="593"/>
    </row>
    <row r="11" spans="1:5" ht="13.5" customHeight="1">
      <c r="A11" s="600" t="s">
        <v>395</v>
      </c>
      <c r="B11" s="601"/>
      <c r="C11" s="601"/>
      <c r="D11" s="601"/>
      <c r="E11" s="593"/>
    </row>
    <row r="12" spans="1:5" ht="12.75" customHeight="1">
      <c r="A12" s="588" t="s">
        <v>396</v>
      </c>
      <c r="B12" s="589">
        <v>0</v>
      </c>
      <c r="C12" s="602"/>
      <c r="D12" s="603">
        <f>B12*100%</f>
        <v>0</v>
      </c>
      <c r="E12" s="593"/>
    </row>
    <row r="13" spans="1:5" ht="12.75" customHeight="1" thickBot="1">
      <c r="A13" s="594" t="s">
        <v>397</v>
      </c>
      <c r="B13" s="595">
        <v>0</v>
      </c>
      <c r="C13" s="595">
        <v>0</v>
      </c>
      <c r="D13" s="604">
        <f>(C13-B13)*100%</f>
        <v>0</v>
      </c>
      <c r="E13" s="597">
        <f>D13+D12</f>
        <v>0</v>
      </c>
    </row>
    <row r="14" spans="1:5" ht="12.75" customHeight="1" thickTop="1">
      <c r="A14" s="76"/>
      <c r="B14" s="605"/>
      <c r="C14" s="605"/>
      <c r="D14" s="581"/>
      <c r="E14" s="593"/>
    </row>
    <row r="15" spans="1:5" ht="12.75" customHeight="1">
      <c r="A15" s="606" t="s">
        <v>398</v>
      </c>
      <c r="B15" s="9"/>
      <c r="C15" s="9"/>
      <c r="D15" s="9"/>
      <c r="E15" s="135"/>
    </row>
    <row r="16" spans="1:5" ht="25.5" customHeight="1">
      <c r="A16" s="103" t="s">
        <v>399</v>
      </c>
      <c r="B16" s="601" t="s">
        <v>400</v>
      </c>
      <c r="C16" s="584" t="s">
        <v>401</v>
      </c>
      <c r="D16" s="584" t="s">
        <v>402</v>
      </c>
      <c r="E16" s="135"/>
    </row>
    <row r="17" spans="1:5" ht="12.75" customHeight="1">
      <c r="A17" s="607" t="s">
        <v>403</v>
      </c>
      <c r="B17" s="608">
        <v>0</v>
      </c>
      <c r="C17" s="609"/>
      <c r="D17" s="609">
        <f>B17*100%</f>
        <v>0</v>
      </c>
      <c r="E17" s="135"/>
    </row>
    <row r="18" spans="1:5" ht="12.75" customHeight="1" thickBot="1">
      <c r="A18" s="610" t="s">
        <v>404</v>
      </c>
      <c r="B18" s="611"/>
      <c r="C18" s="612">
        <v>0</v>
      </c>
      <c r="D18" s="596">
        <f>C18*100%</f>
        <v>0</v>
      </c>
      <c r="E18" s="597">
        <f>D18+D17</f>
        <v>0</v>
      </c>
    </row>
    <row r="19" spans="1:5" ht="12.75" customHeight="1" thickTop="1">
      <c r="A19" s="613" t="s">
        <v>405</v>
      </c>
      <c r="B19" s="581"/>
      <c r="C19" s="581"/>
      <c r="D19" s="581"/>
      <c r="E19" s="614"/>
    </row>
    <row r="20" spans="1:5" ht="12.75" customHeight="1">
      <c r="A20" s="591" t="s">
        <v>406</v>
      </c>
      <c r="B20" s="609"/>
      <c r="C20" s="615"/>
      <c r="D20" s="616" t="s">
        <v>26</v>
      </c>
      <c r="E20" s="135"/>
    </row>
    <row r="21" spans="1:5" ht="12.75" customHeight="1" thickBot="1">
      <c r="A21" s="588" t="s">
        <v>407</v>
      </c>
      <c r="B21" s="596"/>
      <c r="C21" s="595">
        <v>0</v>
      </c>
      <c r="D21" s="596">
        <f>C21</f>
        <v>0</v>
      </c>
      <c r="E21" s="617">
        <f>D21</f>
        <v>0</v>
      </c>
    </row>
    <row r="22" spans="1:5" ht="12.75" customHeight="1" thickTop="1">
      <c r="A22" s="613" t="s">
        <v>408</v>
      </c>
      <c r="B22" s="581"/>
      <c r="C22" s="581"/>
      <c r="D22" s="581"/>
      <c r="E22" s="135"/>
    </row>
    <row r="23" spans="1:5" ht="12.75" customHeight="1">
      <c r="A23" s="591" t="s">
        <v>409</v>
      </c>
      <c r="B23" s="609"/>
      <c r="C23" s="609"/>
      <c r="D23" s="616" t="s">
        <v>26</v>
      </c>
      <c r="E23" s="135"/>
    </row>
    <row r="24" spans="1:5" ht="13.5" customHeight="1" thickBot="1">
      <c r="A24" s="618" t="s">
        <v>410</v>
      </c>
      <c r="B24" s="619"/>
      <c r="C24" s="620">
        <v>0</v>
      </c>
      <c r="D24" s="619">
        <f>C24*100%</f>
        <v>0</v>
      </c>
      <c r="E24" s="617">
        <f>D24</f>
        <v>0</v>
      </c>
    </row>
    <row r="25" spans="1:5" ht="13.5" customHeight="1">
      <c r="A25" s="76"/>
      <c r="B25" s="581"/>
      <c r="C25" s="621"/>
      <c r="D25" s="581"/>
      <c r="E25" s="622"/>
    </row>
    <row r="26" spans="1:5" ht="25.5" customHeight="1">
      <c r="A26" s="623" t="s">
        <v>411</v>
      </c>
      <c r="B26" s="584" t="s">
        <v>412</v>
      </c>
      <c r="C26" s="584" t="s">
        <v>401</v>
      </c>
      <c r="D26" s="584" t="s">
        <v>402</v>
      </c>
      <c r="E26" s="135"/>
    </row>
    <row r="27" spans="1:5" ht="12.75" customHeight="1">
      <c r="A27" s="624" t="s">
        <v>413</v>
      </c>
      <c r="B27" s="625">
        <v>0</v>
      </c>
      <c r="C27" s="625">
        <v>0</v>
      </c>
      <c r="D27" s="690">
        <f>B27-C27</f>
        <v>0</v>
      </c>
      <c r="E27" s="135"/>
    </row>
    <row r="28" spans="1:5" ht="13.5" customHeight="1" thickBot="1">
      <c r="A28" s="626" t="s">
        <v>414</v>
      </c>
      <c r="B28" s="627">
        <v>0</v>
      </c>
      <c r="C28" s="619"/>
      <c r="D28" s="112">
        <f>B28*100%</f>
        <v>0</v>
      </c>
      <c r="E28" s="628">
        <f>D28+D27</f>
        <v>0</v>
      </c>
    </row>
    <row r="29" spans="1:5" ht="13.5" customHeight="1">
      <c r="A29" s="629"/>
      <c r="B29" s="621"/>
      <c r="C29" s="581"/>
      <c r="D29" s="581"/>
      <c r="E29" s="581"/>
    </row>
    <row r="30" spans="1:5" ht="30" customHeight="1">
      <c r="A30" s="630" t="s">
        <v>415</v>
      </c>
      <c r="B30" s="631" t="s">
        <v>416</v>
      </c>
      <c r="C30" s="632"/>
      <c r="D30" s="633" t="s">
        <v>402</v>
      </c>
      <c r="E30" s="135"/>
    </row>
    <row r="31" spans="1:5" ht="12.75" customHeight="1">
      <c r="A31" s="634" t="s">
        <v>417</v>
      </c>
      <c r="B31" s="615"/>
      <c r="C31" s="632"/>
      <c r="D31" s="616" t="s">
        <v>26</v>
      </c>
      <c r="E31" s="135"/>
    </row>
    <row r="32" spans="1:5" ht="13.5" customHeight="1" thickBot="1">
      <c r="A32" s="635" t="s">
        <v>418</v>
      </c>
      <c r="B32" s="636"/>
      <c r="C32" s="632"/>
      <c r="D32" s="1">
        <f>B32*100%</f>
        <v>0</v>
      </c>
      <c r="E32" s="628">
        <f>D32</f>
        <v>0</v>
      </c>
    </row>
    <row r="33" spans="1:5" ht="13.5" customHeight="1">
      <c r="A33" s="629"/>
      <c r="B33" s="621"/>
      <c r="C33" s="21"/>
      <c r="D33" s="581"/>
      <c r="E33" s="581"/>
    </row>
    <row r="34" spans="1:5" ht="38.25" customHeight="1">
      <c r="A34" s="637" t="s">
        <v>419</v>
      </c>
      <c r="B34" s="601" t="s">
        <v>401</v>
      </c>
      <c r="C34" s="638" t="s">
        <v>420</v>
      </c>
      <c r="D34" s="601" t="s">
        <v>402</v>
      </c>
      <c r="E34" s="135"/>
    </row>
    <row r="35" spans="1:5" ht="12.75" customHeight="1">
      <c r="A35" s="639" t="s">
        <v>421</v>
      </c>
      <c r="B35" s="640">
        <v>0</v>
      </c>
      <c r="C35" s="640">
        <v>0</v>
      </c>
      <c r="D35" s="641">
        <f>B35-(105%*C35)</f>
        <v>0</v>
      </c>
      <c r="E35" s="593" t="s">
        <v>13</v>
      </c>
    </row>
    <row r="36" spans="1:5" ht="25.5" customHeight="1">
      <c r="A36" s="642"/>
      <c r="B36" s="601" t="s">
        <v>422</v>
      </c>
      <c r="C36" s="638" t="s">
        <v>420</v>
      </c>
      <c r="D36" s="601"/>
      <c r="E36" s="593"/>
    </row>
    <row r="37" spans="1:5" ht="13.5" customHeight="1" thickBot="1">
      <c r="A37" s="643" t="s">
        <v>131</v>
      </c>
      <c r="B37" s="644">
        <v>0</v>
      </c>
      <c r="C37" s="644">
        <v>0</v>
      </c>
      <c r="D37" s="645">
        <f>B37-(110%*C37)</f>
        <v>0</v>
      </c>
      <c r="E37" s="617">
        <f>D37+D35</f>
        <v>0</v>
      </c>
    </row>
    <row r="38" spans="1:5" ht="13.5" customHeight="1">
      <c r="A38" s="629"/>
      <c r="B38" s="605"/>
      <c r="C38" s="605"/>
      <c r="D38" s="646"/>
      <c r="E38" s="622"/>
    </row>
    <row r="39" spans="1:5" ht="25.5" customHeight="1" thickBot="1">
      <c r="A39" s="637" t="s">
        <v>423</v>
      </c>
      <c r="B39" s="601" t="s">
        <v>424</v>
      </c>
      <c r="C39" s="601" t="s">
        <v>422</v>
      </c>
      <c r="D39" s="601" t="s">
        <v>402</v>
      </c>
      <c r="E39" s="135"/>
    </row>
    <row r="40" spans="1:5" ht="20.25" customHeight="1" thickBot="1">
      <c r="A40" s="647" t="s">
        <v>425</v>
      </c>
      <c r="B40" s="648"/>
      <c r="C40" s="601"/>
      <c r="D40" s="601"/>
      <c r="E40" s="135"/>
    </row>
    <row r="41" spans="1:5" ht="12.75" customHeight="1">
      <c r="A41" s="649" t="s">
        <v>426</v>
      </c>
      <c r="B41" s="650"/>
      <c r="C41" s="651"/>
      <c r="D41" s="651"/>
      <c r="E41" s="135"/>
    </row>
    <row r="42" spans="1:5" ht="12.75" customHeight="1">
      <c r="A42" s="588" t="s">
        <v>118</v>
      </c>
      <c r="B42" s="589"/>
      <c r="C42" s="602"/>
      <c r="D42" s="602">
        <f>B42*0%</f>
        <v>0</v>
      </c>
      <c r="E42" s="135"/>
    </row>
    <row r="43" spans="1:5" ht="12.75" customHeight="1" thickBot="1">
      <c r="A43" s="652" t="s">
        <v>427</v>
      </c>
      <c r="B43" s="612"/>
      <c r="C43" s="612"/>
      <c r="D43" s="653">
        <f>(B43+0.5%*C43)*0%</f>
        <v>0</v>
      </c>
      <c r="E43" s="628">
        <f>D43+D42</f>
        <v>0</v>
      </c>
    </row>
    <row r="44" spans="1:5" ht="12.75" customHeight="1" thickTop="1">
      <c r="A44" s="654" t="s">
        <v>428</v>
      </c>
      <c r="B44" s="650"/>
      <c r="C44" s="655"/>
      <c r="D44" s="655"/>
      <c r="E44" s="135"/>
    </row>
    <row r="45" spans="1:5" ht="12.75" customHeight="1">
      <c r="A45" s="591" t="s">
        <v>118</v>
      </c>
      <c r="B45" s="589"/>
      <c r="C45" s="589">
        <v>0</v>
      </c>
      <c r="D45" s="609">
        <f>(B45+1%*C45)*0%</f>
        <v>0</v>
      </c>
      <c r="E45" s="135"/>
    </row>
    <row r="46" spans="1:5" ht="12.75" customHeight="1" thickBot="1">
      <c r="A46" s="652" t="s">
        <v>429</v>
      </c>
      <c r="B46" s="595"/>
      <c r="C46" s="595">
        <v>0</v>
      </c>
      <c r="D46" s="641">
        <f>(B46+5%*C46)*0%</f>
        <v>0</v>
      </c>
      <c r="E46" s="628">
        <f>D46+D45</f>
        <v>0</v>
      </c>
    </row>
    <row r="47" spans="1:6" ht="12.75" customHeight="1" thickTop="1">
      <c r="A47" s="656" t="s">
        <v>430</v>
      </c>
      <c r="B47" s="657"/>
      <c r="C47" s="650"/>
      <c r="D47" s="650"/>
      <c r="E47" s="581"/>
      <c r="F47" s="3"/>
    </row>
    <row r="48" spans="1:6" ht="12.75" customHeight="1">
      <c r="A48" s="588" t="s">
        <v>431</v>
      </c>
      <c r="B48" s="589"/>
      <c r="C48" s="602"/>
      <c r="D48" s="602">
        <f>B48*0%</f>
        <v>0</v>
      </c>
      <c r="E48" s="135"/>
      <c r="F48" s="3"/>
    </row>
    <row r="49" spans="1:6" ht="12.75" customHeight="1" thickBot="1">
      <c r="A49" s="652" t="s">
        <v>429</v>
      </c>
      <c r="B49" s="595"/>
      <c r="C49" s="595">
        <v>0</v>
      </c>
      <c r="D49" s="641">
        <f>(B49+0.5%*C49)*0%</f>
        <v>0</v>
      </c>
      <c r="E49" s="628">
        <f>D49+D48</f>
        <v>0</v>
      </c>
      <c r="F49" s="3"/>
    </row>
    <row r="50" spans="1:6" ht="25.5" customHeight="1" thickTop="1">
      <c r="A50" s="656" t="s">
        <v>432</v>
      </c>
      <c r="B50" s="658"/>
      <c r="C50" s="658"/>
      <c r="D50" s="658"/>
      <c r="E50" s="581"/>
      <c r="F50" s="3"/>
    </row>
    <row r="51" spans="1:5" ht="12.75" customHeight="1">
      <c r="A51" s="588" t="s">
        <v>433</v>
      </c>
      <c r="B51" s="608"/>
      <c r="C51" s="608">
        <v>0</v>
      </c>
      <c r="D51" s="616" t="s">
        <v>26</v>
      </c>
      <c r="E51" s="135"/>
    </row>
    <row r="52" spans="1:5" ht="12.75" customHeight="1">
      <c r="A52" s="591" t="s">
        <v>434</v>
      </c>
      <c r="B52" s="589"/>
      <c r="C52" s="589">
        <v>0</v>
      </c>
      <c r="D52" s="602">
        <f>(B52+1%*C52)*0%</f>
        <v>0</v>
      </c>
      <c r="E52" s="135"/>
    </row>
    <row r="53" spans="1:5" ht="13.5" customHeight="1" thickBot="1">
      <c r="A53" s="618" t="s">
        <v>429</v>
      </c>
      <c r="B53" s="659"/>
      <c r="C53" s="660">
        <v>0</v>
      </c>
      <c r="D53" s="592">
        <f>(B53+5%*C53)*0%</f>
        <v>0</v>
      </c>
      <c r="E53" s="628">
        <f>D53+D52</f>
        <v>0</v>
      </c>
    </row>
    <row r="54" spans="1:5" ht="21.75" customHeight="1" thickBot="1">
      <c r="A54" s="661" t="s">
        <v>435</v>
      </c>
      <c r="B54" s="662"/>
      <c r="C54" s="1"/>
      <c r="D54" s="1"/>
      <c r="E54" s="581"/>
    </row>
    <row r="55" spans="1:5" ht="12.75" customHeight="1">
      <c r="A55" s="649" t="s">
        <v>426</v>
      </c>
      <c r="B55" s="663"/>
      <c r="C55" s="664"/>
      <c r="D55" s="664"/>
      <c r="E55" s="135"/>
    </row>
    <row r="56" spans="1:5" ht="12.75" customHeight="1">
      <c r="A56" s="588" t="s">
        <v>118</v>
      </c>
      <c r="B56" s="589"/>
      <c r="C56" s="602"/>
      <c r="D56" s="602">
        <f>B56*2%</f>
        <v>0</v>
      </c>
      <c r="E56" s="135"/>
    </row>
    <row r="57" spans="1:5" ht="12.75" customHeight="1" thickBot="1">
      <c r="A57" s="652" t="s">
        <v>427</v>
      </c>
      <c r="B57" s="612"/>
      <c r="C57" s="612"/>
      <c r="D57" s="653">
        <f>(B57+0.5%*C57)*2%</f>
        <v>0</v>
      </c>
      <c r="E57" s="628">
        <f>D57+D56</f>
        <v>0</v>
      </c>
    </row>
    <row r="58" spans="1:5" ht="12.75" customHeight="1" thickTop="1">
      <c r="A58" s="654" t="s">
        <v>428</v>
      </c>
      <c r="B58" s="650"/>
      <c r="C58" s="655"/>
      <c r="D58" s="655"/>
      <c r="E58" s="135"/>
    </row>
    <row r="59" spans="1:5" ht="12.75" customHeight="1">
      <c r="A59" s="591" t="s">
        <v>118</v>
      </c>
      <c r="B59" s="589"/>
      <c r="C59" s="589"/>
      <c r="D59" s="609">
        <f>(B59+1%*C59)*2%</f>
        <v>0</v>
      </c>
      <c r="E59" s="135"/>
    </row>
    <row r="60" spans="1:5" ht="12.75" customHeight="1" thickBot="1">
      <c r="A60" s="652" t="s">
        <v>429</v>
      </c>
      <c r="B60" s="595"/>
      <c r="C60" s="595"/>
      <c r="D60" s="641">
        <f>(B60+5%*C60)*2%</f>
        <v>0</v>
      </c>
      <c r="E60" s="628">
        <f>D60+D59</f>
        <v>0</v>
      </c>
    </row>
    <row r="61" spans="1:5" ht="12.75" customHeight="1" thickTop="1">
      <c r="A61" s="656" t="s">
        <v>430</v>
      </c>
      <c r="B61" s="657"/>
      <c r="C61" s="650"/>
      <c r="D61" s="650"/>
      <c r="E61" s="581"/>
    </row>
    <row r="62" spans="1:5" ht="12.75" customHeight="1">
      <c r="A62" s="588" t="s">
        <v>431</v>
      </c>
      <c r="B62" s="589"/>
      <c r="C62" s="602"/>
      <c r="D62" s="602">
        <f>B62*2%</f>
        <v>0</v>
      </c>
      <c r="E62" s="135"/>
    </row>
    <row r="63" spans="1:5" ht="12.75" customHeight="1" thickBot="1">
      <c r="A63" s="652" t="s">
        <v>429</v>
      </c>
      <c r="B63" s="595"/>
      <c r="C63" s="595"/>
      <c r="D63" s="641">
        <f>(B63+0.5%*C63)*2%</f>
        <v>0</v>
      </c>
      <c r="E63" s="628">
        <f>D63+D62</f>
        <v>0</v>
      </c>
    </row>
    <row r="64" spans="1:5" ht="12.75" customHeight="1" thickTop="1">
      <c r="A64" s="656" t="s">
        <v>432</v>
      </c>
      <c r="B64" s="658"/>
      <c r="C64" s="658"/>
      <c r="D64" s="658"/>
      <c r="E64" s="581"/>
    </row>
    <row r="65" spans="1:5" ht="12.75" customHeight="1">
      <c r="A65" s="588" t="s">
        <v>433</v>
      </c>
      <c r="B65" s="608">
        <v>0</v>
      </c>
      <c r="C65" s="608">
        <v>0</v>
      </c>
      <c r="D65" s="616" t="s">
        <v>26</v>
      </c>
      <c r="E65" s="135"/>
    </row>
    <row r="66" spans="1:5" ht="12.75" customHeight="1">
      <c r="A66" s="591" t="s">
        <v>434</v>
      </c>
      <c r="B66" s="589"/>
      <c r="C66" s="589"/>
      <c r="D66" s="602">
        <f>(B66+1%*C66)*2%</f>
        <v>0</v>
      </c>
      <c r="E66" s="135"/>
    </row>
    <row r="67" spans="1:5" ht="12.75" customHeight="1" thickBot="1">
      <c r="A67" s="618" t="s">
        <v>429</v>
      </c>
      <c r="B67" s="660"/>
      <c r="C67" s="659"/>
      <c r="D67" s="592">
        <f>(B67+5%*C67)*2%</f>
        <v>0</v>
      </c>
      <c r="E67" s="628">
        <f>D67+D66</f>
        <v>0</v>
      </c>
    </row>
    <row r="68" spans="1:5" ht="23.25" customHeight="1" thickBot="1">
      <c r="A68" s="661" t="s">
        <v>436</v>
      </c>
      <c r="B68" s="665"/>
      <c r="C68" s="168"/>
      <c r="D68" s="1"/>
      <c r="E68" s="581"/>
    </row>
    <row r="69" spans="1:5" ht="12.75" customHeight="1">
      <c r="A69" s="649" t="s">
        <v>426</v>
      </c>
      <c r="B69" s="663"/>
      <c r="C69" s="664"/>
      <c r="D69" s="664"/>
      <c r="E69" s="135"/>
    </row>
    <row r="70" spans="1:5" ht="12.75" customHeight="1">
      <c r="A70" s="588" t="s">
        <v>118</v>
      </c>
      <c r="B70" s="589"/>
      <c r="C70" s="602"/>
      <c r="D70" s="602">
        <f>B70*5%</f>
        <v>0</v>
      </c>
      <c r="E70" s="135"/>
    </row>
    <row r="71" spans="1:5" ht="12.75" customHeight="1" thickBot="1">
      <c r="A71" s="652" t="s">
        <v>427</v>
      </c>
      <c r="B71" s="612"/>
      <c r="C71" s="612"/>
      <c r="D71" s="653">
        <f>(B71+0.5%*C71)*5%</f>
        <v>0</v>
      </c>
      <c r="E71" s="628">
        <f>D71+D70</f>
        <v>0</v>
      </c>
    </row>
    <row r="72" spans="1:5" ht="12.75" customHeight="1" thickTop="1">
      <c r="A72" s="654" t="s">
        <v>428</v>
      </c>
      <c r="B72" s="650"/>
      <c r="C72" s="655"/>
      <c r="D72" s="655"/>
      <c r="E72" s="135"/>
    </row>
    <row r="73" spans="1:5" ht="12.75" customHeight="1">
      <c r="A73" s="591" t="s">
        <v>118</v>
      </c>
      <c r="B73" s="589"/>
      <c r="C73" s="589"/>
      <c r="D73" s="609">
        <f>(B73+1%*C73)*5%</f>
        <v>0</v>
      </c>
      <c r="E73" s="135"/>
    </row>
    <row r="74" spans="1:5" ht="12.75" customHeight="1" thickBot="1">
      <c r="A74" s="652" t="s">
        <v>429</v>
      </c>
      <c r="B74" s="595"/>
      <c r="C74" s="595"/>
      <c r="D74" s="641">
        <f>(B74+5%*C74)*5%</f>
        <v>0</v>
      </c>
      <c r="E74" s="628">
        <f>D74+D73</f>
        <v>0</v>
      </c>
    </row>
    <row r="75" spans="1:5" ht="12.75" customHeight="1" thickTop="1">
      <c r="A75" s="656" t="s">
        <v>430</v>
      </c>
      <c r="B75" s="657"/>
      <c r="C75" s="650"/>
      <c r="D75" s="650"/>
      <c r="E75" s="581"/>
    </row>
    <row r="76" spans="1:5" ht="12.75" customHeight="1">
      <c r="A76" s="588" t="s">
        <v>431</v>
      </c>
      <c r="B76" s="589"/>
      <c r="C76" s="602"/>
      <c r="D76" s="602">
        <f>B76*5%</f>
        <v>0</v>
      </c>
      <c r="E76" s="135"/>
    </row>
    <row r="77" spans="1:5" ht="12.75" customHeight="1" thickBot="1">
      <c r="A77" s="652" t="s">
        <v>429</v>
      </c>
      <c r="B77" s="595"/>
      <c r="C77" s="595"/>
      <c r="D77" s="641">
        <f>(B77+0.5%*C77)*5%</f>
        <v>0</v>
      </c>
      <c r="E77" s="628">
        <f>D77+D76</f>
        <v>0</v>
      </c>
    </row>
    <row r="78" spans="1:5" ht="12.75" customHeight="1" thickTop="1">
      <c r="A78" s="656" t="s">
        <v>432</v>
      </c>
      <c r="B78" s="658"/>
      <c r="C78" s="658"/>
      <c r="D78" s="658"/>
      <c r="E78" s="581"/>
    </row>
    <row r="79" spans="1:5" ht="12.75" customHeight="1">
      <c r="A79" s="588" t="s">
        <v>433</v>
      </c>
      <c r="B79" s="608">
        <v>0</v>
      </c>
      <c r="C79" s="608">
        <v>0</v>
      </c>
      <c r="D79" s="616" t="s">
        <v>26</v>
      </c>
      <c r="E79" s="135"/>
    </row>
    <row r="80" spans="1:5" ht="12.75" customHeight="1">
      <c r="A80" s="591" t="s">
        <v>434</v>
      </c>
      <c r="B80" s="589"/>
      <c r="C80" s="589"/>
      <c r="D80" s="602">
        <f>(B80+1%*C80)*5%</f>
        <v>0</v>
      </c>
      <c r="E80" s="135"/>
    </row>
    <row r="81" spans="1:5" ht="12.75" customHeight="1" thickBot="1">
      <c r="A81" s="618" t="s">
        <v>429</v>
      </c>
      <c r="B81" s="659"/>
      <c r="C81" s="659"/>
      <c r="D81" s="666">
        <f>(B81+5%*C81)*5%</f>
        <v>0</v>
      </c>
      <c r="E81" s="628">
        <f>D81+D80</f>
        <v>0</v>
      </c>
    </row>
    <row r="82" spans="2:5" ht="12.75" customHeight="1">
      <c r="B82" s="605"/>
      <c r="C82" s="605"/>
      <c r="D82" s="646"/>
      <c r="E82" s="622"/>
    </row>
    <row r="83" spans="1:5" ht="25.5" customHeight="1">
      <c r="A83" s="667" t="s">
        <v>437</v>
      </c>
      <c r="B83" s="668" t="s">
        <v>438</v>
      </c>
      <c r="C83" s="668" t="s">
        <v>439</v>
      </c>
      <c r="D83" s="668" t="s">
        <v>402</v>
      </c>
      <c r="E83" s="622"/>
    </row>
    <row r="84" spans="1:5" ht="13.5" customHeight="1" thickBot="1">
      <c r="A84" s="669" t="s">
        <v>440</v>
      </c>
      <c r="B84" s="636">
        <v>0</v>
      </c>
      <c r="C84" s="636">
        <v>0</v>
      </c>
      <c r="D84" s="670">
        <f>(B84-C84)*100%</f>
        <v>0</v>
      </c>
      <c r="E84" s="671">
        <f>D84</f>
        <v>0</v>
      </c>
    </row>
    <row r="85" spans="1:5" s="3" customFormat="1" ht="13.5" customHeight="1">
      <c r="A85" s="672"/>
      <c r="B85" s="673"/>
      <c r="C85" s="621"/>
      <c r="D85" s="674"/>
      <c r="E85" s="614"/>
    </row>
    <row r="86" spans="1:5" ht="25.5" customHeight="1">
      <c r="A86" s="667" t="s">
        <v>441</v>
      </c>
      <c r="B86" s="584" t="s">
        <v>442</v>
      </c>
      <c r="C86" s="9"/>
      <c r="D86" s="584" t="s">
        <v>402</v>
      </c>
      <c r="E86" s="614"/>
    </row>
    <row r="87" spans="1:5" ht="13.5" customHeight="1" thickBot="1">
      <c r="A87" s="675" t="s">
        <v>443</v>
      </c>
      <c r="B87" s="644">
        <v>0</v>
      </c>
      <c r="C87" s="9"/>
      <c r="D87" s="645">
        <f>B87*100%</f>
        <v>0</v>
      </c>
      <c r="E87" s="597">
        <f>D87</f>
        <v>0</v>
      </c>
    </row>
    <row r="88" spans="1:5" ht="25.5" customHeight="1">
      <c r="A88" s="676"/>
      <c r="B88" s="677" t="s">
        <v>400</v>
      </c>
      <c r="C88" s="9"/>
      <c r="D88" s="678" t="s">
        <v>402</v>
      </c>
      <c r="E88" s="679"/>
    </row>
    <row r="89" spans="1:5" ht="25.5" customHeight="1" thickBot="1">
      <c r="A89" s="680" t="s">
        <v>444</v>
      </c>
      <c r="B89" s="681">
        <v>0</v>
      </c>
      <c r="C89" s="9"/>
      <c r="D89" s="682">
        <f>B89*100%</f>
        <v>0</v>
      </c>
      <c r="E89" s="617">
        <f>D89</f>
        <v>0</v>
      </c>
    </row>
    <row r="90" spans="1:5" ht="13.5" customHeight="1" thickBot="1" thickTop="1">
      <c r="A90" s="683"/>
      <c r="B90" s="684"/>
      <c r="C90" s="684"/>
      <c r="D90" s="622"/>
      <c r="E90" s="622"/>
    </row>
    <row r="91" spans="1:5" ht="21" customHeight="1" thickBot="1">
      <c r="A91" s="685" t="s">
        <v>445</v>
      </c>
      <c r="B91" s="686">
        <f>SUM(E8:E89)</f>
        <v>0</v>
      </c>
      <c r="C91" s="581"/>
      <c r="D91" s="135"/>
      <c r="E91" s="135"/>
    </row>
    <row r="92" spans="1:5" ht="12.75" customHeight="1">
      <c r="A92" s="687" t="s">
        <v>446</v>
      </c>
      <c r="B92" s="681">
        <v>0</v>
      </c>
      <c r="C92" s="622"/>
      <c r="D92" s="622"/>
      <c r="E92" s="646"/>
    </row>
    <row r="93" spans="1:5" ht="20.25" customHeight="1">
      <c r="A93" s="688" t="s">
        <v>447</v>
      </c>
      <c r="B93" s="689">
        <f>ROUND(B91-B92,0)</f>
        <v>0</v>
      </c>
      <c r="C93" s="622"/>
      <c r="D93" s="622"/>
      <c r="E93" s="646"/>
    </row>
    <row r="94" spans="4:5" ht="12.75">
      <c r="D94" s="9"/>
      <c r="E94" s="9"/>
    </row>
    <row r="95" spans="4:5" ht="12.75">
      <c r="D95" s="9"/>
      <c r="E95" s="9"/>
    </row>
    <row r="96" spans="4:5" ht="12.75">
      <c r="D96" s="9"/>
      <c r="E96" s="9"/>
    </row>
    <row r="97" spans="4:5" ht="12.75">
      <c r="D97" s="9"/>
      <c r="E97" s="9"/>
    </row>
    <row r="98" spans="4:5" ht="12.75">
      <c r="D98" s="9"/>
      <c r="E98" s="9"/>
    </row>
    <row r="99" spans="4:5" ht="12.75">
      <c r="D99" s="9"/>
      <c r="E99" s="9"/>
    </row>
    <row r="100" spans="4:5" ht="12.75">
      <c r="D100" s="9"/>
      <c r="E100" s="9"/>
    </row>
    <row r="101" spans="4:5" ht="12.75">
      <c r="D101" s="9"/>
      <c r="E101" s="9"/>
    </row>
    <row r="102" ht="12.75">
      <c r="D102" s="9"/>
    </row>
    <row r="103" ht="12.75">
      <c r="D103" s="9"/>
    </row>
  </sheetData>
  <sheetProtection password="83AF" sheet="1" objects="1" scenarios="1"/>
  <printOptions/>
  <pageMargins left="0.75" right="0.75" top="1" bottom="1" header="0.5" footer="0.5"/>
  <pageSetup fitToHeight="1" fitToWidth="1" horizontalDpi="600" verticalDpi="600" orientation="portrait" paperSize="9" scale="47" r:id="rId3"/>
  <legacyDrawing r:id="rId2"/>
</worksheet>
</file>

<file path=xl/worksheets/sheet12.xml><?xml version="1.0" encoding="utf-8"?>
<worksheet xmlns="http://schemas.openxmlformats.org/spreadsheetml/2006/main" xmlns:r="http://schemas.openxmlformats.org/officeDocument/2006/relationships">
  <dimension ref="A1:Q35"/>
  <sheetViews>
    <sheetView workbookViewId="0" topLeftCell="A1">
      <selection activeCell="E11" sqref="E11"/>
    </sheetView>
  </sheetViews>
  <sheetFormatPr defaultColWidth="9.140625" defaultRowHeight="12.75"/>
  <cols>
    <col min="1" max="1" width="32.421875" style="0" customWidth="1"/>
    <col min="2" max="2" width="17.421875" style="0" customWidth="1"/>
    <col min="3" max="3" width="13.57421875" style="0" customWidth="1"/>
    <col min="4" max="4" width="14.28125" style="0" customWidth="1"/>
    <col min="5" max="5" width="13.7109375" style="0" customWidth="1"/>
    <col min="6" max="6" width="14.140625" style="0" customWidth="1"/>
    <col min="7" max="8" width="10.28125" style="0" customWidth="1"/>
  </cols>
  <sheetData>
    <row r="1" spans="1:6" ht="23.25">
      <c r="A1" s="335" t="s">
        <v>283</v>
      </c>
      <c r="B1" s="11"/>
      <c r="C1" s="11"/>
      <c r="D1" s="11"/>
      <c r="E1" s="9"/>
      <c r="F1" s="9"/>
    </row>
    <row r="2" spans="1:6" ht="12.75">
      <c r="A2" s="21"/>
      <c r="B2" s="334"/>
      <c r="C2" s="334"/>
      <c r="D2" s="334"/>
      <c r="E2" s="21"/>
      <c r="F2" s="21"/>
    </row>
    <row r="3" spans="1:17" ht="12.75">
      <c r="A3" s="501" t="s">
        <v>284</v>
      </c>
      <c r="B3" s="354">
        <v>0</v>
      </c>
      <c r="C3" s="334"/>
      <c r="D3" s="334"/>
      <c r="E3" s="21"/>
      <c r="F3" s="21"/>
      <c r="G3" s="506"/>
      <c r="H3" s="506" t="s">
        <v>285</v>
      </c>
      <c r="I3" s="506"/>
      <c r="J3" s="506"/>
      <c r="K3" s="506"/>
      <c r="L3" s="506"/>
      <c r="M3" s="506"/>
      <c r="N3" s="506"/>
      <c r="O3" s="506"/>
      <c r="P3" s="506"/>
      <c r="Q3" s="506"/>
    </row>
    <row r="4" spans="1:17" ht="12.75">
      <c r="A4" s="32"/>
      <c r="B4" s="334"/>
      <c r="C4" s="334"/>
      <c r="D4" s="334"/>
      <c r="E4" s="21"/>
      <c r="F4" s="21"/>
      <c r="G4" s="506"/>
      <c r="H4" s="507">
        <f>MAX(H8:H11)</f>
        <v>0</v>
      </c>
      <c r="I4" s="506"/>
      <c r="J4" s="506"/>
      <c r="K4" s="506" t="s">
        <v>285</v>
      </c>
      <c r="L4" s="506" t="s">
        <v>286</v>
      </c>
      <c r="M4" s="506" t="s">
        <v>287</v>
      </c>
      <c r="N4" s="506"/>
      <c r="O4" s="506"/>
      <c r="P4" s="506"/>
      <c r="Q4" s="506"/>
    </row>
    <row r="5" spans="1:17" ht="12.75">
      <c r="A5" s="502" t="s">
        <v>288</v>
      </c>
      <c r="B5" s="312"/>
      <c r="C5" s="312"/>
      <c r="D5" s="312"/>
      <c r="E5" s="21"/>
      <c r="F5" s="21"/>
      <c r="G5" s="506"/>
      <c r="H5" s="508" t="s">
        <v>289</v>
      </c>
      <c r="I5" s="506"/>
      <c r="J5" s="506"/>
      <c r="K5" s="506">
        <f>MAX(L8:L11)</f>
        <v>3</v>
      </c>
      <c r="L5" s="506">
        <f>M8+M11+K5</f>
        <v>8</v>
      </c>
      <c r="M5" s="506">
        <f>10-L5</f>
        <v>2</v>
      </c>
      <c r="N5" s="506"/>
      <c r="O5" s="506"/>
      <c r="P5" s="506"/>
      <c r="Q5" s="506"/>
    </row>
    <row r="6" spans="1:17" ht="12.75">
      <c r="A6" s="338"/>
      <c r="B6" s="204"/>
      <c r="C6" s="204"/>
      <c r="D6" s="204"/>
      <c r="E6" s="21"/>
      <c r="F6" s="21"/>
      <c r="G6" s="506"/>
      <c r="H6" s="507">
        <f>MIN(H8:H11)</f>
        <v>0</v>
      </c>
      <c r="I6" s="506"/>
      <c r="J6" s="506" t="s">
        <v>290</v>
      </c>
      <c r="K6" s="506">
        <f>INDEX(Reqts,K5,1)</f>
        <v>0</v>
      </c>
      <c r="L6" s="506"/>
      <c r="M6" s="506">
        <f>INDEX(Reqts,M5,1)</f>
        <v>0</v>
      </c>
      <c r="N6" s="506"/>
      <c r="O6" s="506"/>
      <c r="P6" s="506"/>
      <c r="Q6" s="506"/>
    </row>
    <row r="7" spans="1:17" ht="38.25">
      <c r="A7" s="337" t="s">
        <v>291</v>
      </c>
      <c r="B7" s="336" t="s">
        <v>292</v>
      </c>
      <c r="C7" s="336" t="s">
        <v>293</v>
      </c>
      <c r="D7" s="340" t="s">
        <v>294</v>
      </c>
      <c r="E7" s="287" t="s">
        <v>295</v>
      </c>
      <c r="F7" s="222" t="s">
        <v>296</v>
      </c>
      <c r="G7" s="509" t="s">
        <v>297</v>
      </c>
      <c r="H7" s="506" t="s">
        <v>298</v>
      </c>
      <c r="I7" s="506"/>
      <c r="J7" s="506">
        <v>0</v>
      </c>
      <c r="K7" s="506"/>
      <c r="L7" s="506"/>
      <c r="M7" s="506" t="s">
        <v>299</v>
      </c>
      <c r="N7" s="506"/>
      <c r="O7" s="510" t="s">
        <v>300</v>
      </c>
      <c r="P7" s="506"/>
      <c r="Q7" s="506"/>
    </row>
    <row r="8" spans="1:17" ht="12.75">
      <c r="A8" s="503" t="s">
        <v>301</v>
      </c>
      <c r="B8" s="512">
        <v>0</v>
      </c>
      <c r="C8" s="513">
        <v>0</v>
      </c>
      <c r="D8" s="313">
        <f>IF(B8&gt;ABS(C8),B8-ABS(C8),0)</f>
        <v>0</v>
      </c>
      <c r="E8" s="314">
        <v>0</v>
      </c>
      <c r="F8" s="315">
        <f>IF(LERFlag,E8*D8,0)</f>
        <v>0</v>
      </c>
      <c r="G8" s="507">
        <f>D8</f>
        <v>0</v>
      </c>
      <c r="H8" s="507">
        <f>F8</f>
        <v>0</v>
      </c>
      <c r="I8" s="506">
        <v>1</v>
      </c>
      <c r="J8" s="506">
        <f>IF(H8=$H$4,I8,J7)</f>
        <v>1</v>
      </c>
      <c r="K8" s="506">
        <f>IF(H8=$H$6,I8,K9)</f>
        <v>1</v>
      </c>
      <c r="L8" s="506">
        <f>IF(OR($M$8=I8,$M$11=I8),0,I8)</f>
        <v>0</v>
      </c>
      <c r="M8" s="506">
        <f>J11</f>
        <v>4</v>
      </c>
      <c r="N8" s="506"/>
      <c r="O8" s="506" t="s">
        <v>302</v>
      </c>
      <c r="P8" s="506"/>
      <c r="Q8" s="506"/>
    </row>
    <row r="9" spans="1:17" ht="12.75">
      <c r="A9" s="338"/>
      <c r="B9" s="344"/>
      <c r="C9" s="345"/>
      <c r="D9" s="345"/>
      <c r="E9" s="345"/>
      <c r="F9" s="345"/>
      <c r="G9" s="507">
        <f>D11</f>
        <v>0</v>
      </c>
      <c r="H9" s="507">
        <f>F11</f>
        <v>0</v>
      </c>
      <c r="I9" s="506">
        <v>2</v>
      </c>
      <c r="J9" s="506">
        <f>IF(H9=$H$4,I9,J8)</f>
        <v>2</v>
      </c>
      <c r="K9" s="506">
        <f>IF(H9=$H$6,I9,K10)</f>
        <v>2</v>
      </c>
      <c r="L9" s="506">
        <f>IF(OR($M$8=I9,$M$11=I9),0,I9)</f>
        <v>2</v>
      </c>
      <c r="M9" s="506">
        <f>IF(K6&gt;=M6,K5,M5)</f>
        <v>3</v>
      </c>
      <c r="N9" s="506"/>
      <c r="O9" s="506" t="s">
        <v>303</v>
      </c>
      <c r="P9" s="506"/>
      <c r="Q9" s="506"/>
    </row>
    <row r="10" spans="1:17" ht="12.75">
      <c r="A10" s="347" t="s">
        <v>303</v>
      </c>
      <c r="B10" s="346"/>
      <c r="C10" s="346"/>
      <c r="D10" s="351" t="s">
        <v>304</v>
      </c>
      <c r="E10" s="21"/>
      <c r="F10" s="21"/>
      <c r="G10" s="507">
        <f>D14</f>
        <v>0</v>
      </c>
      <c r="H10" s="507">
        <f>F14</f>
        <v>0</v>
      </c>
      <c r="I10" s="506">
        <v>3</v>
      </c>
      <c r="J10" s="506">
        <f>IF(H10=$H$4,I10,J9)</f>
        <v>3</v>
      </c>
      <c r="K10" s="506">
        <f>IF(H10=$H$6,I10,K11)</f>
        <v>3</v>
      </c>
      <c r="L10" s="506">
        <f>IF(OR($M$8=I10,$M$11=I10),0,I10)</f>
        <v>3</v>
      </c>
      <c r="M10" s="506">
        <f>IF(K6&lt;M6,K5,M5)</f>
        <v>2</v>
      </c>
      <c r="N10" s="506"/>
      <c r="O10" s="506" t="s">
        <v>305</v>
      </c>
      <c r="P10" s="506"/>
      <c r="Q10" s="506"/>
    </row>
    <row r="11" spans="1:17" ht="12.75">
      <c r="A11" s="503" t="s">
        <v>306</v>
      </c>
      <c r="B11" s="346"/>
      <c r="C11" s="346"/>
      <c r="D11" s="429">
        <v>0</v>
      </c>
      <c r="E11" s="314">
        <v>0</v>
      </c>
      <c r="F11" s="315">
        <f>IF(LERFlag,E11*D11,0)</f>
        <v>0</v>
      </c>
      <c r="G11" s="507">
        <f>D17</f>
        <v>0</v>
      </c>
      <c r="H11" s="507">
        <f>F17</f>
        <v>0</v>
      </c>
      <c r="I11" s="506">
        <v>4</v>
      </c>
      <c r="J11" s="506">
        <f>IF(H11=$H$4,I11,J10)</f>
        <v>4</v>
      </c>
      <c r="K11" s="506">
        <f>IF(H11=$H$6,I11,K12)</f>
        <v>4</v>
      </c>
      <c r="L11" s="506">
        <f>IF(OR($M$8=I11,$M$11=I11),0,I11)</f>
        <v>0</v>
      </c>
      <c r="M11" s="506">
        <f>K8</f>
        <v>1</v>
      </c>
      <c r="N11" s="506"/>
      <c r="O11" s="506" t="s">
        <v>129</v>
      </c>
      <c r="P11" s="506"/>
      <c r="Q11" s="506"/>
    </row>
    <row r="12" spans="1:17" ht="12.75">
      <c r="A12" s="341"/>
      <c r="B12" s="346"/>
      <c r="C12" s="346"/>
      <c r="D12" s="349"/>
      <c r="E12" s="21"/>
      <c r="F12" s="21"/>
      <c r="G12" s="511"/>
      <c r="H12" s="506"/>
      <c r="I12" s="506"/>
      <c r="J12" s="506"/>
      <c r="K12" s="506">
        <v>4</v>
      </c>
      <c r="L12" s="506"/>
      <c r="M12" s="506"/>
      <c r="N12" s="506"/>
      <c r="O12" s="506"/>
      <c r="P12" s="506"/>
      <c r="Q12" s="506"/>
    </row>
    <row r="13" spans="1:8" ht="63.75">
      <c r="A13" s="350" t="s">
        <v>307</v>
      </c>
      <c r="B13" s="12"/>
      <c r="C13" s="12"/>
      <c r="D13" s="348" t="s">
        <v>304</v>
      </c>
      <c r="E13" s="21"/>
      <c r="F13" s="21"/>
      <c r="G13" s="21"/>
      <c r="H13" s="3"/>
    </row>
    <row r="14" spans="1:7" ht="12.75">
      <c r="A14" s="504" t="s">
        <v>308</v>
      </c>
      <c r="B14" s="21"/>
      <c r="C14" s="21"/>
      <c r="D14" s="469">
        <v>0</v>
      </c>
      <c r="E14" s="314">
        <v>0</v>
      </c>
      <c r="F14" s="315">
        <f>IF(LERFlag,E14*D14,0)</f>
        <v>0</v>
      </c>
      <c r="G14" s="21"/>
    </row>
    <row r="15" spans="1:8" ht="12.75">
      <c r="A15" s="339"/>
      <c r="B15" s="21"/>
      <c r="C15" s="21"/>
      <c r="D15" s="21"/>
      <c r="E15" s="21"/>
      <c r="F15" s="21"/>
      <c r="G15" s="21"/>
      <c r="H15" s="3"/>
    </row>
    <row r="16" spans="1:8" ht="41.25" customHeight="1">
      <c r="A16" s="353" t="s">
        <v>309</v>
      </c>
      <c r="B16" s="12"/>
      <c r="C16" s="12"/>
      <c r="D16" s="21"/>
      <c r="E16" s="21"/>
      <c r="F16" s="21"/>
      <c r="G16" s="21"/>
      <c r="H16" s="3"/>
    </row>
    <row r="17" spans="1:7" ht="12.75" customHeight="1">
      <c r="A17" s="504" t="s">
        <v>310</v>
      </c>
      <c r="B17" s="21"/>
      <c r="C17" s="21"/>
      <c r="D17" s="512">
        <v>0</v>
      </c>
      <c r="E17" s="314">
        <v>0</v>
      </c>
      <c r="F17" s="315">
        <f>IF(LERFlag,E17*D17,0)</f>
        <v>0</v>
      </c>
      <c r="G17" s="21"/>
    </row>
    <row r="18" spans="1:13" ht="12.75">
      <c r="A18" s="342"/>
      <c r="B18" s="352"/>
      <c r="C18" s="21"/>
      <c r="D18" s="345"/>
      <c r="E18" s="345"/>
      <c r="F18" s="21"/>
      <c r="G18" s="21"/>
      <c r="H18" s="3"/>
      <c r="I18" s="3"/>
      <c r="J18" s="3"/>
      <c r="K18" s="3"/>
      <c r="L18" s="3"/>
      <c r="M18" s="3"/>
    </row>
    <row r="19" spans="1:8" ht="15.75">
      <c r="A19" s="343" t="s">
        <v>311</v>
      </c>
      <c r="B19" s="316">
        <f>D17+D14+D11+D8</f>
        <v>0</v>
      </c>
      <c r="C19" s="346"/>
      <c r="D19" s="346"/>
      <c r="E19" s="21"/>
      <c r="F19" s="21"/>
      <c r="G19" s="21"/>
      <c r="H19" s="3"/>
    </row>
    <row r="20" spans="1:7" ht="16.5" thickBot="1">
      <c r="A20" s="505" t="s">
        <v>312</v>
      </c>
      <c r="B20" s="316">
        <f>0.25*B3</f>
        <v>0</v>
      </c>
      <c r="C20" s="21"/>
      <c r="D20" s="21"/>
      <c r="E20" s="21"/>
      <c r="F20" s="21"/>
      <c r="G20" s="21"/>
    </row>
    <row r="21" spans="1:7" ht="38.25">
      <c r="A21" s="9"/>
      <c r="B21" s="318" t="str">
        <f>IF(B19&lt;=B20,"No LER Calculation Required","LER Calculation Required")</f>
        <v>No LER Calculation Required</v>
      </c>
      <c r="C21" s="21"/>
      <c r="D21" s="21"/>
      <c r="E21" s="21"/>
      <c r="F21" s="21"/>
      <c r="G21" s="21"/>
    </row>
    <row r="22" spans="1:7" ht="12.75">
      <c r="A22" s="9"/>
      <c r="B22" s="319" t="b">
        <f>B19&gt;B20</f>
        <v>0</v>
      </c>
      <c r="C22" s="21"/>
      <c r="D22" s="21"/>
      <c r="E22" s="21"/>
      <c r="F22" s="21"/>
      <c r="G22" s="21"/>
    </row>
    <row r="23" spans="1:7" ht="12.75">
      <c r="A23" s="9"/>
      <c r="B23" s="320"/>
      <c r="C23" s="21"/>
      <c r="D23" s="21"/>
      <c r="E23" s="21"/>
      <c r="F23" s="21"/>
      <c r="G23" s="21"/>
    </row>
    <row r="24" spans="1:7" ht="12.75">
      <c r="A24" s="9" t="s">
        <v>313</v>
      </c>
      <c r="B24" s="321">
        <f>IF(B22,B19-B20,0)</f>
        <v>0</v>
      </c>
      <c r="C24" s="21"/>
      <c r="D24" s="21"/>
      <c r="E24" s="21"/>
      <c r="F24" s="21"/>
      <c r="G24" s="21"/>
    </row>
    <row r="25" spans="1:7" ht="13.5" thickBot="1">
      <c r="A25" s="9"/>
      <c r="B25" s="322"/>
      <c r="C25" s="21"/>
      <c r="D25" s="21"/>
      <c r="E25" s="21"/>
      <c r="F25" s="21"/>
      <c r="G25" s="21"/>
    </row>
    <row r="26" spans="1:6" ht="12.75">
      <c r="A26" s="514" t="s">
        <v>314</v>
      </c>
      <c r="B26" s="515" t="s">
        <v>315</v>
      </c>
      <c r="C26" s="515" t="s">
        <v>316</v>
      </c>
      <c r="D26" s="516" t="s">
        <v>317</v>
      </c>
      <c r="E26" s="515" t="s">
        <v>318</v>
      </c>
      <c r="F26" s="515" t="s">
        <v>319</v>
      </c>
    </row>
    <row r="27" spans="1:6" ht="12.75">
      <c r="A27" s="133" t="str">
        <f>"1. "&amp;INDEX(sNames,M8,1)</f>
        <v>1. Other</v>
      </c>
      <c r="B27" s="133">
        <f>INDEX(Expos,M8,1)</f>
        <v>0</v>
      </c>
      <c r="C27" s="323">
        <f>MIN(B27,$B$24)</f>
        <v>0</v>
      </c>
      <c r="D27" s="324" t="e">
        <f>C27/B27</f>
        <v>#DIV/0!</v>
      </c>
      <c r="E27" s="323" t="e">
        <f>INDEX(Reqts,M8,1)*D27</f>
        <v>#DIV/0!</v>
      </c>
      <c r="F27" s="133" t="e">
        <f>IF(D27&gt;0,B27,0)</f>
        <v>#DIV/0!</v>
      </c>
    </row>
    <row r="28" spans="1:6" ht="12.75">
      <c r="A28" s="133" t="str">
        <f>"2. "&amp;INDEX(sNames,M9,1)</f>
        <v>2. Unsettled securities etc</v>
      </c>
      <c r="B28" s="133">
        <f>INDEX(Expos,M9,1)</f>
        <v>0</v>
      </c>
      <c r="C28" s="323">
        <f>MIN(C27+B28,$B$23:$B$24)</f>
        <v>0</v>
      </c>
      <c r="D28" s="324" t="e">
        <f>(C28-C27)/B28</f>
        <v>#DIV/0!</v>
      </c>
      <c r="E28" s="323" t="e">
        <f>INDEX(Reqts,M9,1)*D28</f>
        <v>#DIV/0!</v>
      </c>
      <c r="F28" s="133" t="e">
        <f>IF(D28&gt;0,B28,0)</f>
        <v>#DIV/0!</v>
      </c>
    </row>
    <row r="29" spans="1:6" ht="12.75">
      <c r="A29" s="133" t="str">
        <f>"3. "&amp;INDEX(sNames,M10,1)</f>
        <v>3. Underwriting commitments</v>
      </c>
      <c r="B29" s="133">
        <f>INDEX(Expos,M10,1)</f>
        <v>0</v>
      </c>
      <c r="C29" s="323">
        <f>MIN(C28+B29,$B$23:$B$24)</f>
        <v>0</v>
      </c>
      <c r="D29" s="324" t="e">
        <f>(C29-C28)/B29</f>
        <v>#DIV/0!</v>
      </c>
      <c r="E29" s="323" t="e">
        <f>INDEX(Reqts,M10,1)*D29</f>
        <v>#DIV/0!</v>
      </c>
      <c r="F29" s="133" t="e">
        <f>IF(D29&gt;0,B29,0)</f>
        <v>#DIV/0!</v>
      </c>
    </row>
    <row r="30" spans="1:8" ht="12.75">
      <c r="A30" s="133" t="str">
        <f>"4. "&amp;INDEX(sNames,M11,1)</f>
        <v>4. Financial Instruments</v>
      </c>
      <c r="B30" s="133">
        <f>INDEX(Expos,M11,1)</f>
        <v>0</v>
      </c>
      <c r="C30" s="323">
        <f>MIN(C29+B30,$B$23:$B$24)</f>
        <v>0</v>
      </c>
      <c r="D30" s="324" t="e">
        <f>(C30-C29)/B30</f>
        <v>#DIV/0!</v>
      </c>
      <c r="E30" s="323" t="e">
        <f>INDEX(Reqts,M11,1)*D30</f>
        <v>#DIV/0!</v>
      </c>
      <c r="F30" s="133" t="e">
        <f>IF(D30&gt;0,B30,0)</f>
        <v>#DIV/0!</v>
      </c>
      <c r="H30" s="9"/>
    </row>
    <row r="31" spans="1:8" ht="13.5" thickBot="1">
      <c r="A31" s="21"/>
      <c r="B31" s="21"/>
      <c r="C31" s="325"/>
      <c r="D31" s="326"/>
      <c r="E31" s="325"/>
      <c r="F31" s="21"/>
      <c r="G31" s="21"/>
      <c r="H31" s="9"/>
    </row>
    <row r="32" spans="1:8" ht="12.75">
      <c r="A32" s="517" t="s">
        <v>320</v>
      </c>
      <c r="B32" s="327"/>
      <c r="C32" s="327"/>
      <c r="D32" s="328" t="e">
        <f>SUM(E27:E30)</f>
        <v>#DIV/0!</v>
      </c>
      <c r="E32" s="327" t="s">
        <v>321</v>
      </c>
      <c r="F32" s="329" t="e">
        <f>IF(F30&gt;0,F30,IF(F29&gt;0,F29,IF(F28&gt;0,F28,F27)))</f>
        <v>#DIV/0!</v>
      </c>
      <c r="H32" s="9"/>
    </row>
    <row r="33" spans="1:8" ht="12.75">
      <c r="A33" s="330" t="s">
        <v>322</v>
      </c>
      <c r="B33" s="215"/>
      <c r="C33" s="215"/>
      <c r="D33" s="323" t="e">
        <f>D32+D32</f>
        <v>#DIV/0!</v>
      </c>
      <c r="E33" s="203" t="s">
        <v>323</v>
      </c>
      <c r="F33" s="331" t="e">
        <f>D32</f>
        <v>#DIV/0!</v>
      </c>
      <c r="H33" s="9"/>
    </row>
    <row r="34" spans="1:8" ht="12.75">
      <c r="A34" s="330" t="s">
        <v>324</v>
      </c>
      <c r="B34" s="215"/>
      <c r="C34" s="215"/>
      <c r="D34" s="323" t="e">
        <f>MIN(D33,F34)</f>
        <v>#DIV/0!</v>
      </c>
      <c r="E34" s="133" t="s">
        <v>325</v>
      </c>
      <c r="F34" s="331" t="e">
        <f>MAX(F32-F33,0)</f>
        <v>#DIV/0!</v>
      </c>
      <c r="H34" s="9"/>
    </row>
    <row r="35" spans="1:8" ht="13.5" thickBot="1">
      <c r="A35" s="332"/>
      <c r="B35" s="317"/>
      <c r="C35" s="317"/>
      <c r="D35" s="317"/>
      <c r="E35" s="317"/>
      <c r="F35" s="333"/>
      <c r="H35" s="9"/>
    </row>
  </sheetData>
  <sheetProtection password="E07E" sheet="1" objects="1" scenarios="1"/>
  <printOptions/>
  <pageMargins left="0.75" right="0.75" top="1" bottom="1" header="0.5" footer="0.5"/>
  <pageSetup horizontalDpi="600" verticalDpi="600" orientation="portrait" paperSize="9" scale="80" r:id="rId3"/>
  <headerFooter alignWithMargins="0">
    <oddHeader>&amp;C&amp;A</oddHeader>
    <oddFooter>&amp;CPage &amp;P</oddFooter>
  </headerFooter>
  <legacyDrawing r:id="rId2"/>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1" sqref="A1"/>
    </sheetView>
  </sheetViews>
  <sheetFormatPr defaultColWidth="9.140625" defaultRowHeight="12.75"/>
  <cols>
    <col min="1" max="1" width="20.8515625" style="0" customWidth="1"/>
    <col min="7" max="7" width="11.140625" style="0" customWidth="1"/>
  </cols>
  <sheetData>
    <row r="1" spans="1:9" ht="20.25">
      <c r="A1" s="373" t="s">
        <v>326</v>
      </c>
      <c r="B1" s="374"/>
      <c r="C1" s="375"/>
      <c r="D1" s="375"/>
      <c r="E1" s="375"/>
      <c r="F1" s="375"/>
      <c r="G1" s="372"/>
      <c r="H1" s="294"/>
      <c r="I1" s="294"/>
    </row>
    <row r="2" spans="1:9" ht="18">
      <c r="A2" s="520" t="s">
        <v>327</v>
      </c>
      <c r="B2" s="370"/>
      <c r="C2" s="371"/>
      <c r="D2" s="371"/>
      <c r="E2" s="371"/>
      <c r="F2" s="371"/>
      <c r="G2" s="372"/>
      <c r="H2" s="294"/>
      <c r="I2" s="294"/>
    </row>
    <row r="3" spans="1:9" ht="25.5">
      <c r="A3" s="355" t="s">
        <v>328</v>
      </c>
      <c r="B3" s="356" t="s">
        <v>329</v>
      </c>
      <c r="C3" s="357" t="s">
        <v>293</v>
      </c>
      <c r="D3" s="358" t="s">
        <v>330</v>
      </c>
      <c r="E3" s="359" t="s">
        <v>329</v>
      </c>
      <c r="F3" s="360" t="s">
        <v>293</v>
      </c>
      <c r="G3" s="518" t="s">
        <v>331</v>
      </c>
      <c r="H3" s="519" t="s">
        <v>332</v>
      </c>
      <c r="I3" s="519" t="s">
        <v>333</v>
      </c>
    </row>
    <row r="4" spans="1:9" ht="12.75">
      <c r="A4" s="361" t="s">
        <v>334</v>
      </c>
      <c r="B4" s="564">
        <v>0</v>
      </c>
      <c r="C4" s="565">
        <v>0</v>
      </c>
      <c r="D4" s="565">
        <v>0</v>
      </c>
      <c r="E4" s="362">
        <f>D4*B4</f>
        <v>0</v>
      </c>
      <c r="F4" s="362">
        <f>D4*C4</f>
        <v>0</v>
      </c>
      <c r="G4" s="474">
        <f>MAX(E4,ABS(F4))</f>
        <v>0</v>
      </c>
      <c r="H4" s="475">
        <f>0.08*G4</f>
        <v>0</v>
      </c>
      <c r="I4" s="475">
        <f>G4*0.02</f>
        <v>0</v>
      </c>
    </row>
    <row r="5" spans="1:9" ht="12.75">
      <c r="A5" s="364" t="s">
        <v>335</v>
      </c>
      <c r="B5" s="566">
        <v>0</v>
      </c>
      <c r="C5" s="567">
        <v>0</v>
      </c>
      <c r="D5" s="567">
        <v>0</v>
      </c>
      <c r="E5" s="362">
        <f>D5*B5</f>
        <v>0</v>
      </c>
      <c r="F5" s="362">
        <f>D5*C5</f>
        <v>0</v>
      </c>
      <c r="G5" s="474">
        <f aca="true" t="shared" si="0" ref="G5:G10">MAX(E5,ABS(F5))</f>
        <v>0</v>
      </c>
      <c r="H5" s="475">
        <f aca="true" t="shared" si="1" ref="H5:H10">0.08*G5</f>
        <v>0</v>
      </c>
      <c r="I5" s="475">
        <f aca="true" t="shared" si="2" ref="I5:I10">G5*0.02</f>
        <v>0</v>
      </c>
    </row>
    <row r="6" spans="1:9" ht="12.75">
      <c r="A6" s="361" t="s">
        <v>336</v>
      </c>
      <c r="B6" s="566">
        <v>0</v>
      </c>
      <c r="C6" s="567">
        <v>0</v>
      </c>
      <c r="D6" s="567">
        <v>0</v>
      </c>
      <c r="E6" s="362">
        <f>D6*B6</f>
        <v>0</v>
      </c>
      <c r="F6" s="362">
        <f>D6*C6</f>
        <v>0</v>
      </c>
      <c r="G6" s="474">
        <f t="shared" si="0"/>
        <v>0</v>
      </c>
      <c r="H6" s="475">
        <f t="shared" si="1"/>
        <v>0</v>
      </c>
      <c r="I6" s="475">
        <f t="shared" si="2"/>
        <v>0</v>
      </c>
    </row>
    <row r="7" spans="1:9" ht="12.75">
      <c r="A7" s="361" t="s">
        <v>337</v>
      </c>
      <c r="B7" s="566">
        <v>0</v>
      </c>
      <c r="C7" s="567">
        <v>0</v>
      </c>
      <c r="D7" s="567">
        <v>0</v>
      </c>
      <c r="E7" s="362">
        <f>D7*B7</f>
        <v>0</v>
      </c>
      <c r="F7" s="362">
        <f>D7*C7</f>
        <v>0</v>
      </c>
      <c r="G7" s="474">
        <f t="shared" si="0"/>
        <v>0</v>
      </c>
      <c r="H7" s="475">
        <f t="shared" si="1"/>
        <v>0</v>
      </c>
      <c r="I7" s="475">
        <f t="shared" si="2"/>
        <v>0</v>
      </c>
    </row>
    <row r="8" spans="1:9" ht="12.75">
      <c r="A8" s="361" t="s">
        <v>338</v>
      </c>
      <c r="B8" s="566">
        <v>0</v>
      </c>
      <c r="C8" s="567">
        <v>0</v>
      </c>
      <c r="D8" s="567">
        <v>0</v>
      </c>
      <c r="E8" s="362">
        <f>D8*B8</f>
        <v>0</v>
      </c>
      <c r="F8" s="362">
        <f>C8*D8</f>
        <v>0</v>
      </c>
      <c r="G8" s="474">
        <f t="shared" si="0"/>
        <v>0</v>
      </c>
      <c r="H8" s="475">
        <f t="shared" si="1"/>
        <v>0</v>
      </c>
      <c r="I8" s="475">
        <f t="shared" si="2"/>
        <v>0</v>
      </c>
    </row>
    <row r="9" spans="1:9" ht="12.75">
      <c r="A9" s="365"/>
      <c r="B9" s="566">
        <v>0</v>
      </c>
      <c r="C9" s="567">
        <v>0</v>
      </c>
      <c r="D9" s="567">
        <v>0</v>
      </c>
      <c r="E9" s="362"/>
      <c r="F9" s="362"/>
      <c r="G9" s="474">
        <f t="shared" si="0"/>
        <v>0</v>
      </c>
      <c r="H9" s="475">
        <f t="shared" si="1"/>
        <v>0</v>
      </c>
      <c r="I9" s="475">
        <f t="shared" si="2"/>
        <v>0</v>
      </c>
    </row>
    <row r="10" spans="1:9" ht="13.5" thickBot="1">
      <c r="A10" s="365"/>
      <c r="B10" s="562">
        <v>0</v>
      </c>
      <c r="C10" s="563">
        <v>0</v>
      </c>
      <c r="D10" s="563">
        <v>0</v>
      </c>
      <c r="E10" s="362"/>
      <c r="F10" s="362"/>
      <c r="G10" s="473">
        <f t="shared" si="0"/>
        <v>0</v>
      </c>
      <c r="H10" s="476">
        <f t="shared" si="1"/>
        <v>0</v>
      </c>
      <c r="I10" s="476">
        <f t="shared" si="2"/>
        <v>0</v>
      </c>
    </row>
    <row r="11" spans="1:9" ht="33" thickBot="1" thickTop="1">
      <c r="A11" s="366" t="s">
        <v>339</v>
      </c>
      <c r="B11" s="367">
        <f>H11</f>
        <v>0</v>
      </c>
      <c r="C11" s="294"/>
      <c r="D11" s="294"/>
      <c r="E11" s="294"/>
      <c r="F11" s="294"/>
      <c r="G11" s="376"/>
      <c r="H11" s="377">
        <f>SUM(H4:H10)</f>
        <v>0</v>
      </c>
      <c r="I11" s="377">
        <f>SUM(I4:I10)</f>
        <v>0</v>
      </c>
    </row>
    <row r="12" spans="1:9" ht="12.75">
      <c r="A12" s="294"/>
      <c r="B12" s="294"/>
      <c r="C12" s="294"/>
      <c r="D12" s="294"/>
      <c r="E12" s="294"/>
      <c r="F12" s="294"/>
      <c r="G12" s="363"/>
      <c r="H12" s="363"/>
      <c r="I12" s="363"/>
    </row>
    <row r="13" spans="1:9" ht="18.75" thickBot="1">
      <c r="A13" s="521" t="s">
        <v>340</v>
      </c>
      <c r="B13" s="368"/>
      <c r="C13" s="368"/>
      <c r="D13" s="294"/>
      <c r="E13" s="294"/>
      <c r="F13" s="294"/>
      <c r="G13" s="294"/>
      <c r="H13" s="294"/>
      <c r="I13" s="294"/>
    </row>
    <row r="14" spans="1:9" ht="13.5" thickBot="1">
      <c r="A14" s="294"/>
      <c r="B14" s="294"/>
      <c r="C14" s="294"/>
      <c r="D14" s="294"/>
      <c r="E14" s="294"/>
      <c r="F14" s="294"/>
      <c r="G14" s="294"/>
      <c r="H14" s="294"/>
      <c r="I14" s="294"/>
    </row>
    <row r="15" spans="1:9" ht="13.5" thickBot="1">
      <c r="A15" s="294" t="s">
        <v>341</v>
      </c>
      <c r="B15" s="294"/>
      <c r="C15" s="294"/>
      <c r="D15" s="294"/>
      <c r="E15" s="522"/>
      <c r="F15" s="294"/>
      <c r="G15" s="294"/>
      <c r="H15" s="294"/>
      <c r="I15" s="294"/>
    </row>
    <row r="16" spans="1:9" ht="12.75">
      <c r="A16" s="294"/>
      <c r="B16" s="294"/>
      <c r="C16" s="294"/>
      <c r="D16" s="294"/>
      <c r="E16" s="369"/>
      <c r="F16" s="294"/>
      <c r="G16" s="294"/>
      <c r="H16" s="294"/>
      <c r="I16" s="294"/>
    </row>
    <row r="17" spans="1:9" ht="12.75">
      <c r="A17" s="27" t="s">
        <v>342</v>
      </c>
      <c r="B17" s="9"/>
      <c r="C17" s="9"/>
      <c r="D17" s="9"/>
      <c r="E17" s="315"/>
      <c r="F17" s="9"/>
      <c r="G17" s="9"/>
      <c r="H17" s="9"/>
      <c r="I17" s="9"/>
    </row>
    <row r="18" spans="1:9" ht="12.75">
      <c r="A18" s="27" t="s">
        <v>343</v>
      </c>
      <c r="B18" s="9"/>
      <c r="C18" s="9"/>
      <c r="D18" s="9"/>
      <c r="E18" s="524">
        <f>I11</f>
        <v>0</v>
      </c>
      <c r="F18" s="9"/>
      <c r="G18" s="9"/>
      <c r="H18" s="9"/>
      <c r="I18" s="9"/>
    </row>
    <row r="19" spans="1:9" ht="12.75">
      <c r="A19" s="9"/>
      <c r="B19" s="9" t="s">
        <v>344</v>
      </c>
      <c r="C19" s="9"/>
      <c r="D19" s="9"/>
      <c r="E19" s="525">
        <f>MAX(E18,E17)</f>
        <v>0</v>
      </c>
      <c r="F19" s="9"/>
      <c r="G19" s="9"/>
      <c r="H19" s="9"/>
      <c r="I19" s="9"/>
    </row>
    <row r="20" spans="1:9" ht="12.75">
      <c r="A20" s="9"/>
      <c r="B20" s="9"/>
      <c r="C20" s="9"/>
      <c r="D20" s="9"/>
      <c r="E20" s="9"/>
      <c r="F20" s="9"/>
      <c r="G20" s="9"/>
      <c r="H20" s="9"/>
      <c r="I20" s="9"/>
    </row>
    <row r="21" spans="1:9" ht="13.5" thickBot="1">
      <c r="A21" s="9"/>
      <c r="B21" s="9"/>
      <c r="C21" s="9"/>
      <c r="D21" s="9"/>
      <c r="E21" s="9"/>
      <c r="F21" s="9"/>
      <c r="G21" s="9"/>
      <c r="H21" s="9"/>
      <c r="I21" s="9"/>
    </row>
    <row r="22" spans="1:9" ht="16.5" thickBot="1">
      <c r="A22" s="378" t="s">
        <v>345</v>
      </c>
      <c r="B22" s="363"/>
      <c r="C22" s="363"/>
      <c r="D22" s="363"/>
      <c r="E22" s="523">
        <f>IF(E15="Y",E19,B11)</f>
        <v>0</v>
      </c>
      <c r="F22" s="9"/>
      <c r="G22" s="9"/>
      <c r="H22" s="9"/>
      <c r="I22" s="9"/>
    </row>
    <row r="23" spans="1:9" ht="13.5" thickTop="1">
      <c r="A23" s="9"/>
      <c r="B23" s="9"/>
      <c r="C23" s="9"/>
      <c r="D23" s="9"/>
      <c r="E23" s="9"/>
      <c r="F23" s="9"/>
      <c r="G23" s="9"/>
      <c r="H23" s="9"/>
      <c r="I23" s="9"/>
    </row>
    <row r="24" spans="1:9" ht="12.75">
      <c r="A24" s="9"/>
      <c r="B24" s="9"/>
      <c r="C24" s="9"/>
      <c r="D24" s="9"/>
      <c r="E24" s="9"/>
      <c r="F24" s="9"/>
      <c r="G24" s="9"/>
      <c r="H24" s="9"/>
      <c r="I24" s="9"/>
    </row>
    <row r="25" spans="1:9" ht="12.75">
      <c r="A25" s="9"/>
      <c r="B25" s="9"/>
      <c r="C25" s="9"/>
      <c r="D25" s="9"/>
      <c r="E25" s="9"/>
      <c r="F25" s="9"/>
      <c r="G25" s="9"/>
      <c r="H25" s="9"/>
      <c r="I25" s="9"/>
    </row>
    <row r="26" spans="1:9" ht="12.75">
      <c r="A26" s="9"/>
      <c r="B26" s="9"/>
      <c r="C26" s="9"/>
      <c r="D26" s="9"/>
      <c r="E26" s="9"/>
      <c r="F26" s="9"/>
      <c r="G26" s="9"/>
      <c r="H26" s="9"/>
      <c r="I26" s="9"/>
    </row>
    <row r="27" spans="1:9" ht="12.75">
      <c r="A27" s="9"/>
      <c r="B27" s="9"/>
      <c r="C27" s="9"/>
      <c r="D27" s="9"/>
      <c r="E27" s="9"/>
      <c r="F27" s="9"/>
      <c r="G27" s="9"/>
      <c r="H27" s="9"/>
      <c r="I27" s="9"/>
    </row>
    <row r="28" spans="1:9" ht="12.75">
      <c r="A28" s="9"/>
      <c r="B28" s="9"/>
      <c r="C28" s="9"/>
      <c r="D28" s="9"/>
      <c r="E28" s="9"/>
      <c r="F28" s="9"/>
      <c r="G28" s="9"/>
      <c r="H28" s="9"/>
      <c r="I28" s="9"/>
    </row>
    <row r="29" spans="1:9" ht="12.75">
      <c r="A29" s="9"/>
      <c r="B29" s="9"/>
      <c r="C29" s="9"/>
      <c r="D29" s="9"/>
      <c r="E29" s="9"/>
      <c r="F29" s="9"/>
      <c r="G29" s="9"/>
      <c r="H29" s="9"/>
      <c r="I29" s="9"/>
    </row>
    <row r="30" spans="1:9" ht="12.75">
      <c r="A30" s="9"/>
      <c r="B30" s="9"/>
      <c r="C30" s="9"/>
      <c r="D30" s="9"/>
      <c r="E30" s="9"/>
      <c r="F30" s="9"/>
      <c r="G30" s="9"/>
      <c r="H30" s="9"/>
      <c r="I30" s="9"/>
    </row>
    <row r="31" spans="1:9" ht="12.75">
      <c r="A31" s="9"/>
      <c r="B31" s="9"/>
      <c r="C31" s="9"/>
      <c r="D31" s="9"/>
      <c r="E31" s="9"/>
      <c r="F31" s="9"/>
      <c r="G31" s="9"/>
      <c r="H31" s="9"/>
      <c r="I31" s="9"/>
    </row>
    <row r="32" spans="1:9" ht="12.75">
      <c r="A32" s="9"/>
      <c r="B32" s="9"/>
      <c r="C32" s="9"/>
      <c r="D32" s="9"/>
      <c r="E32" s="9"/>
      <c r="F32" s="9"/>
      <c r="G32" s="9"/>
      <c r="H32" s="9"/>
      <c r="I32" s="9"/>
    </row>
    <row r="33" spans="1:9" ht="12.75">
      <c r="A33" s="9"/>
      <c r="B33" s="9"/>
      <c r="C33" s="9"/>
      <c r="D33" s="9"/>
      <c r="E33" s="9"/>
      <c r="F33" s="9"/>
      <c r="G33" s="9"/>
      <c r="H33" s="9"/>
      <c r="I33" s="9"/>
    </row>
    <row r="34" spans="1:9" ht="12.75">
      <c r="A34" s="9"/>
      <c r="B34" s="9"/>
      <c r="C34" s="9"/>
      <c r="D34" s="9"/>
      <c r="E34" s="9"/>
      <c r="F34" s="9"/>
      <c r="G34" s="9"/>
      <c r="H34" s="9"/>
      <c r="I34" s="9"/>
    </row>
    <row r="35" spans="1:9" ht="12.75">
      <c r="A35" s="9"/>
      <c r="B35" s="9"/>
      <c r="C35" s="9"/>
      <c r="D35" s="9"/>
      <c r="E35" s="9"/>
      <c r="F35" s="9"/>
      <c r="G35" s="9"/>
      <c r="H35" s="9"/>
      <c r="I35" s="9"/>
    </row>
    <row r="36" spans="1:9" ht="12.75">
      <c r="A36" s="9"/>
      <c r="B36" s="9"/>
      <c r="C36" s="9"/>
      <c r="D36" s="9"/>
      <c r="E36" s="9"/>
      <c r="F36" s="9"/>
      <c r="G36" s="9"/>
      <c r="H36" s="9"/>
      <c r="I36" s="9"/>
    </row>
    <row r="37" spans="1:9" ht="12.75">
      <c r="A37" s="9"/>
      <c r="B37" s="9"/>
      <c r="C37" s="9"/>
      <c r="D37" s="9"/>
      <c r="E37" s="9"/>
      <c r="F37" s="9"/>
      <c r="G37" s="9"/>
      <c r="H37" s="9"/>
      <c r="I37" s="9"/>
    </row>
    <row r="38" spans="1:9" ht="12.75">
      <c r="A38" s="9"/>
      <c r="B38" s="9"/>
      <c r="C38" s="9"/>
      <c r="D38" s="9"/>
      <c r="E38" s="9"/>
      <c r="F38" s="9"/>
      <c r="G38" s="9"/>
      <c r="H38" s="9"/>
      <c r="I38" s="9"/>
    </row>
    <row r="39" spans="1:9" ht="12.75">
      <c r="A39" s="9"/>
      <c r="B39" s="9"/>
      <c r="C39" s="9"/>
      <c r="D39" s="9"/>
      <c r="E39" s="9"/>
      <c r="F39" s="9"/>
      <c r="G39" s="9"/>
      <c r="H39" s="9"/>
      <c r="I39" s="9"/>
    </row>
    <row r="40" spans="1:9" ht="12.75">
      <c r="A40" s="9"/>
      <c r="B40" s="9"/>
      <c r="C40" s="9"/>
      <c r="D40" s="9"/>
      <c r="E40" s="9"/>
      <c r="F40" s="9"/>
      <c r="G40" s="9"/>
      <c r="H40" s="9"/>
      <c r="I40" s="9"/>
    </row>
  </sheetData>
  <sheetProtection password="E07E" sheet="1" objects="1" scenarios="1"/>
  <printOptions/>
  <pageMargins left="0.75" right="0.75" top="1" bottom="1" header="0.5" footer="0.5"/>
  <pageSetup horizontalDpi="600" verticalDpi="600" orientation="portrait" paperSize="9" scale="90" r:id="rId3"/>
  <headerFooter alignWithMargins="0">
    <oddHeader>&amp;C&amp;A</oddHeader>
    <oddFooter>&amp;CPage &amp;P</oddFooter>
  </headerFooter>
  <legacyDrawing r:id="rId2"/>
</worksheet>
</file>

<file path=xl/worksheets/sheet14.xml><?xml version="1.0" encoding="utf-8"?>
<worksheet xmlns="http://schemas.openxmlformats.org/spreadsheetml/2006/main" xmlns:r="http://schemas.openxmlformats.org/officeDocument/2006/relationships">
  <dimension ref="A1:I29"/>
  <sheetViews>
    <sheetView workbookViewId="0" topLeftCell="A1">
      <selection activeCell="H18" sqref="H18"/>
    </sheetView>
  </sheetViews>
  <sheetFormatPr defaultColWidth="9.140625" defaultRowHeight="12.75"/>
  <cols>
    <col min="2" max="3" width="13.28125" style="0" customWidth="1"/>
    <col min="5" max="5" width="9.7109375" style="0" bestFit="1" customWidth="1"/>
    <col min="6" max="6" width="10.8515625" style="0" customWidth="1"/>
    <col min="7" max="7" width="13.00390625" style="0" customWidth="1"/>
    <col min="8" max="8" width="15.00390625" style="0" customWidth="1"/>
  </cols>
  <sheetData>
    <row r="1" spans="1:9" ht="15.75">
      <c r="A1" s="9"/>
      <c r="B1" s="9"/>
      <c r="C1" s="293" t="s">
        <v>154</v>
      </c>
      <c r="D1" s="294"/>
      <c r="E1" s="294"/>
      <c r="F1" s="294"/>
      <c r="G1" s="294"/>
      <c r="H1" s="9"/>
      <c r="I1" s="9"/>
    </row>
    <row r="2" spans="1:9" ht="12.75">
      <c r="A2" s="9"/>
      <c r="B2" s="9"/>
      <c r="C2" s="294"/>
      <c r="D2" s="295" t="s">
        <v>346</v>
      </c>
      <c r="E2" s="295"/>
      <c r="F2" s="294"/>
      <c r="G2" s="294"/>
      <c r="H2" s="9"/>
      <c r="I2" s="9"/>
    </row>
    <row r="3" spans="1:9" ht="12.75">
      <c r="A3" s="9"/>
      <c r="B3" s="9"/>
      <c r="C3" s="294"/>
      <c r="D3" s="295" t="s">
        <v>347</v>
      </c>
      <c r="E3" s="295"/>
      <c r="F3" s="294"/>
      <c r="G3" s="294"/>
      <c r="H3" s="9"/>
      <c r="I3" s="9"/>
    </row>
    <row r="4" spans="1:9" ht="12.75">
      <c r="A4" s="9"/>
      <c r="B4" s="9"/>
      <c r="C4" s="294"/>
      <c r="D4" s="294"/>
      <c r="E4" s="294"/>
      <c r="F4" s="294"/>
      <c r="G4" s="294"/>
      <c r="H4" s="9"/>
      <c r="I4" s="9"/>
    </row>
    <row r="5" spans="1:9" ht="12.75">
      <c r="A5" s="299" t="s">
        <v>253</v>
      </c>
      <c r="B5" s="9"/>
      <c r="C5" s="9"/>
      <c r="D5" s="9"/>
      <c r="E5" s="9"/>
      <c r="F5" s="9"/>
      <c r="G5" s="9"/>
      <c r="H5" s="9"/>
      <c r="I5" s="9"/>
    </row>
    <row r="6" spans="1:9" ht="12.75">
      <c r="A6" s="9"/>
      <c r="B6" s="9"/>
      <c r="C6" s="9"/>
      <c r="D6" s="9"/>
      <c r="E6" s="9"/>
      <c r="F6" s="9"/>
      <c r="G6" s="9"/>
      <c r="H6" s="9"/>
      <c r="I6" s="9"/>
    </row>
    <row r="7" spans="1:9" ht="25.5">
      <c r="A7" s="9"/>
      <c r="B7" s="296"/>
      <c r="C7" s="527" t="s">
        <v>165</v>
      </c>
      <c r="D7" s="526" t="s">
        <v>348</v>
      </c>
      <c r="E7" s="526"/>
      <c r="F7" s="526"/>
      <c r="G7" s="310" t="s">
        <v>349</v>
      </c>
      <c r="H7" s="202"/>
      <c r="I7" s="9"/>
    </row>
    <row r="8" spans="1:9" ht="12.75">
      <c r="A8" s="9"/>
      <c r="B8" s="133"/>
      <c r="C8" s="528" t="s">
        <v>350</v>
      </c>
      <c r="D8" s="529" t="s">
        <v>351</v>
      </c>
      <c r="E8" s="530" t="s">
        <v>352</v>
      </c>
      <c r="F8" s="528" t="s">
        <v>353</v>
      </c>
      <c r="G8" s="528" t="s">
        <v>354</v>
      </c>
      <c r="H8" s="202"/>
      <c r="I8" s="9"/>
    </row>
    <row r="9" spans="1:9" ht="12.75">
      <c r="A9" s="9"/>
      <c r="B9" s="288" t="s">
        <v>355</v>
      </c>
      <c r="C9" s="289">
        <v>0</v>
      </c>
      <c r="D9" s="289">
        <v>0.0025</v>
      </c>
      <c r="E9" s="289">
        <v>0.01</v>
      </c>
      <c r="F9" s="289">
        <v>0.016</v>
      </c>
      <c r="G9" s="289">
        <v>0.08</v>
      </c>
      <c r="H9" s="202"/>
      <c r="I9" s="9"/>
    </row>
    <row r="10" spans="1:9" ht="12.75">
      <c r="A10" s="9"/>
      <c r="B10" s="290" t="s">
        <v>356</v>
      </c>
      <c r="C10" s="705">
        <f>+'BB Loan Securities'!I29</f>
        <v>0</v>
      </c>
      <c r="D10" s="705">
        <f>+'BB Loan Securities'!J29</f>
        <v>0</v>
      </c>
      <c r="E10" s="705">
        <f>+'BB Loan Securities'!K29</f>
        <v>0</v>
      </c>
      <c r="F10" s="705">
        <f>+'BB Loan Securities'!L29</f>
        <v>0</v>
      </c>
      <c r="G10" s="705">
        <f>+'BB Loan Securities'!M29</f>
        <v>0</v>
      </c>
      <c r="H10" s="202"/>
      <c r="I10" s="9"/>
    </row>
    <row r="11" spans="1:9" ht="12.75">
      <c r="A11" s="9"/>
      <c r="B11" s="290" t="s">
        <v>256</v>
      </c>
      <c r="C11" s="291">
        <f>C10*C9*1</f>
        <v>0</v>
      </c>
      <c r="D11" s="291">
        <f>D10*D9*1</f>
        <v>0</v>
      </c>
      <c r="E11" s="291">
        <f>E10*E9*1</f>
        <v>0</v>
      </c>
      <c r="F11" s="291">
        <f>F10*F9*1</f>
        <v>0</v>
      </c>
      <c r="G11" s="291">
        <f>G10*G9*1</f>
        <v>0</v>
      </c>
      <c r="H11" s="202"/>
      <c r="I11" s="9"/>
    </row>
    <row r="12" spans="1:9" ht="12.75">
      <c r="A12" s="9"/>
      <c r="B12" s="133"/>
      <c r="C12" s="133"/>
      <c r="D12" s="133"/>
      <c r="E12" s="133"/>
      <c r="F12" s="133"/>
      <c r="G12" s="133"/>
      <c r="H12" s="202"/>
      <c r="I12" s="9"/>
    </row>
    <row r="13" spans="1:9" ht="13.5" thickBot="1">
      <c r="A13" s="9"/>
      <c r="B13" s="35" t="s">
        <v>357</v>
      </c>
      <c r="C13" s="133"/>
      <c r="D13" s="133"/>
      <c r="E13" s="133"/>
      <c r="F13" s="133"/>
      <c r="G13" s="133"/>
      <c r="H13" s="297">
        <f>SUM(C11:G11)</f>
        <v>0</v>
      </c>
      <c r="I13" s="9"/>
    </row>
    <row r="14" spans="1:9" ht="13.5" thickTop="1">
      <c r="A14" s="9"/>
      <c r="B14" s="9"/>
      <c r="C14" s="9"/>
      <c r="D14" s="9"/>
      <c r="E14" s="9"/>
      <c r="F14" s="9"/>
      <c r="G14" s="9"/>
      <c r="H14" s="9"/>
      <c r="I14" s="9"/>
    </row>
    <row r="15" spans="1:9" ht="12.75">
      <c r="A15" s="9"/>
      <c r="B15" s="9"/>
      <c r="C15" s="9"/>
      <c r="D15" s="9"/>
      <c r="E15" s="9"/>
      <c r="F15" s="9"/>
      <c r="G15" s="9"/>
      <c r="H15" s="9"/>
      <c r="I15" s="9"/>
    </row>
    <row r="16" spans="1:9" ht="12.75">
      <c r="A16" s="300" t="s">
        <v>257</v>
      </c>
      <c r="B16" s="9"/>
      <c r="C16" s="9"/>
      <c r="D16" s="9"/>
      <c r="E16" s="9"/>
      <c r="F16" s="9"/>
      <c r="G16" s="9"/>
      <c r="H16" s="9"/>
      <c r="I16" s="9"/>
    </row>
    <row r="17" spans="1:9" ht="12.75">
      <c r="A17" s="9"/>
      <c r="B17" s="27" t="s">
        <v>454</v>
      </c>
      <c r="C17" s="9"/>
      <c r="D17" s="9"/>
      <c r="E17" s="9"/>
      <c r="F17" s="9"/>
      <c r="G17" s="9"/>
      <c r="H17" s="693">
        <f>+'BBLS Maturity Base'!D38</f>
        <v>13286.050000000003</v>
      </c>
      <c r="I17" s="9"/>
    </row>
    <row r="18" spans="1:9" ht="12.75">
      <c r="A18" s="9"/>
      <c r="B18" s="27"/>
      <c r="C18" s="9"/>
      <c r="D18" s="9"/>
      <c r="E18" s="9"/>
      <c r="F18" s="9"/>
      <c r="G18" s="9"/>
      <c r="H18" s="693"/>
      <c r="I18" s="9"/>
    </row>
    <row r="19" spans="1:9" ht="13.5" thickBot="1">
      <c r="A19" s="9"/>
      <c r="B19" s="27"/>
      <c r="C19" s="9"/>
      <c r="D19" s="9"/>
      <c r="E19" s="9"/>
      <c r="F19" s="9"/>
      <c r="G19" s="9"/>
      <c r="H19" s="693"/>
      <c r="I19" s="9"/>
    </row>
    <row r="20" spans="2:9" ht="16.5" thickBot="1">
      <c r="B20" s="27"/>
      <c r="C20" s="9"/>
      <c r="D20" s="9"/>
      <c r="E20" s="298" t="s">
        <v>358</v>
      </c>
      <c r="F20" s="9"/>
      <c r="G20" s="9"/>
      <c r="H20" s="769">
        <f>+H13+H17</f>
        <v>13286.050000000003</v>
      </c>
      <c r="I20" s="9"/>
    </row>
    <row r="21" spans="1:9" ht="13.5" thickTop="1">
      <c r="A21" s="9"/>
      <c r="B21" s="27"/>
      <c r="C21" s="9"/>
      <c r="D21" s="9"/>
      <c r="E21" s="9"/>
      <c r="F21" s="9"/>
      <c r="G21" s="9"/>
      <c r="H21" s="292"/>
      <c r="I21" s="9"/>
    </row>
    <row r="22" spans="1:9" ht="12.75">
      <c r="A22" s="9"/>
      <c r="B22" s="9"/>
      <c r="C22" s="9"/>
      <c r="D22" s="9"/>
      <c r="E22" s="9"/>
      <c r="F22" s="9"/>
      <c r="G22" s="9"/>
      <c r="H22" s="9"/>
      <c r="I22" s="9"/>
    </row>
    <row r="23" spans="1:9" ht="12.75">
      <c r="A23" s="9"/>
      <c r="B23" s="9"/>
      <c r="C23" s="9"/>
      <c r="D23" s="9"/>
      <c r="E23" s="9"/>
      <c r="F23" s="9"/>
      <c r="G23" s="9"/>
      <c r="H23" s="9"/>
      <c r="I23" s="9"/>
    </row>
    <row r="24" spans="1:9" ht="12.75">
      <c r="A24" s="9"/>
      <c r="B24" s="9"/>
      <c r="C24" s="9"/>
      <c r="D24" s="9"/>
      <c r="E24" s="9"/>
      <c r="F24" s="9"/>
      <c r="G24" s="9"/>
      <c r="H24" s="9"/>
      <c r="I24" s="9"/>
    </row>
    <row r="25" spans="1:9" ht="12.75">
      <c r="A25" s="9"/>
      <c r="B25" s="9"/>
      <c r="C25" s="9"/>
      <c r="D25" s="9"/>
      <c r="E25" s="9"/>
      <c r="F25" s="9"/>
      <c r="G25" s="9"/>
      <c r="H25" s="9"/>
      <c r="I25" s="9"/>
    </row>
    <row r="26" spans="1:9" ht="12.75">
      <c r="A26" s="9"/>
      <c r="B26" s="9"/>
      <c r="C26" s="9"/>
      <c r="D26" s="9"/>
      <c r="E26" s="9"/>
      <c r="F26" s="9"/>
      <c r="G26" s="9"/>
      <c r="H26" s="9"/>
      <c r="I26" s="9"/>
    </row>
    <row r="27" spans="1:9" ht="12.75">
      <c r="A27" s="9"/>
      <c r="B27" s="9"/>
      <c r="C27" s="9"/>
      <c r="D27" s="9"/>
      <c r="E27" s="9"/>
      <c r="F27" s="9"/>
      <c r="G27" s="9"/>
      <c r="H27" s="9"/>
      <c r="I27" s="9"/>
    </row>
    <row r="28" spans="1:9" ht="12.75">
      <c r="A28" s="9"/>
      <c r="B28" s="9"/>
      <c r="C28" s="9"/>
      <c r="D28" s="9"/>
      <c r="E28" s="9"/>
      <c r="F28" s="9"/>
      <c r="G28" s="9"/>
      <c r="H28" s="9"/>
      <c r="I28" s="9"/>
    </row>
    <row r="29" spans="1:9" ht="12.75">
      <c r="A29" s="9"/>
      <c r="B29" s="9"/>
      <c r="C29" s="9"/>
      <c r="D29" s="9"/>
      <c r="E29" s="9"/>
      <c r="F29" s="9"/>
      <c r="G29" s="9"/>
      <c r="H29" s="9"/>
      <c r="I29" s="9"/>
    </row>
  </sheetData>
  <sheetProtection password="83AF" sheet="1" objects="1" scenarios="1"/>
  <printOptions/>
  <pageMargins left="0.75" right="0.75" top="1" bottom="1" header="0.5" footer="0.5"/>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1:L50"/>
  <sheetViews>
    <sheetView workbookViewId="0" topLeftCell="A1">
      <selection activeCell="D16" sqref="D16"/>
    </sheetView>
  </sheetViews>
  <sheetFormatPr defaultColWidth="9.140625" defaultRowHeight="12.75"/>
  <cols>
    <col min="1" max="1" width="20.8515625" style="0" customWidth="1"/>
    <col min="2" max="2" width="15.140625" style="0" customWidth="1"/>
    <col min="3" max="3" width="10.57421875" style="0" bestFit="1" customWidth="1"/>
    <col min="4" max="4" width="17.00390625" style="0" bestFit="1" customWidth="1"/>
    <col min="5" max="5" width="10.57421875" style="0" bestFit="1" customWidth="1"/>
    <col min="6" max="6" width="12.421875" style="0" customWidth="1"/>
    <col min="7" max="7" width="9.28125" style="0" bestFit="1" customWidth="1"/>
    <col min="8" max="8" width="12.7109375" style="0" customWidth="1"/>
    <col min="9" max="9" width="9.28125" style="0" bestFit="1" customWidth="1"/>
  </cols>
  <sheetData>
    <row r="1" spans="1:12" ht="18">
      <c r="A1" s="303"/>
      <c r="B1" s="303"/>
      <c r="C1" s="304" t="s">
        <v>359</v>
      </c>
      <c r="D1" s="303"/>
      <c r="E1" s="303"/>
      <c r="F1" s="303"/>
      <c r="G1" s="303"/>
      <c r="H1" s="303"/>
      <c r="I1" s="303"/>
      <c r="J1" s="303"/>
      <c r="K1" s="303"/>
      <c r="L1" s="303"/>
    </row>
    <row r="2" spans="1:12" ht="15.75">
      <c r="A2" s="303"/>
      <c r="B2" s="303"/>
      <c r="C2" s="305" t="s">
        <v>360</v>
      </c>
      <c r="D2" s="303"/>
      <c r="E2" s="303"/>
      <c r="F2" s="303"/>
      <c r="G2" s="303"/>
      <c r="H2" s="303"/>
      <c r="I2" s="303"/>
      <c r="J2" s="303"/>
      <c r="K2" s="303"/>
      <c r="L2" s="303"/>
    </row>
    <row r="3" spans="1:12" ht="15.75">
      <c r="A3" s="303"/>
      <c r="B3" s="303"/>
      <c r="C3" s="305"/>
      <c r="D3" s="303"/>
      <c r="E3" s="303"/>
      <c r="F3" s="303"/>
      <c r="G3" s="303"/>
      <c r="H3" s="303"/>
      <c r="I3" s="303"/>
      <c r="J3" s="303"/>
      <c r="K3" s="303"/>
      <c r="L3" s="303"/>
    </row>
    <row r="4" spans="1:12" ht="15.75">
      <c r="A4" s="303" t="s">
        <v>453</v>
      </c>
      <c r="B4" s="303"/>
      <c r="C4" s="305"/>
      <c r="D4" s="303"/>
      <c r="E4" s="303"/>
      <c r="F4" s="303"/>
      <c r="G4" s="303"/>
      <c r="H4" s="303"/>
      <c r="I4" s="303"/>
      <c r="J4" s="303"/>
      <c r="K4" s="303"/>
      <c r="L4" s="303"/>
    </row>
    <row r="5" spans="1:12" ht="15.75">
      <c r="A5" s="303"/>
      <c r="B5" s="303"/>
      <c r="C5" s="305"/>
      <c r="D5" s="303"/>
      <c r="E5" s="303"/>
      <c r="F5" s="303"/>
      <c r="G5" s="303"/>
      <c r="H5" s="303"/>
      <c r="I5" s="303"/>
      <c r="J5" s="303"/>
      <c r="K5" s="303"/>
      <c r="L5" s="303"/>
    </row>
    <row r="6" spans="1:12" ht="25.5">
      <c r="A6" s="718" t="s">
        <v>451</v>
      </c>
      <c r="B6" s="531"/>
      <c r="C6" s="531"/>
      <c r="D6" s="531"/>
      <c r="E6" s="531"/>
      <c r="F6" s="531"/>
      <c r="G6" s="531"/>
      <c r="H6" s="531"/>
      <c r="I6" s="531"/>
      <c r="J6" s="240"/>
      <c r="K6" s="240"/>
      <c r="L6" s="240"/>
    </row>
    <row r="7" spans="1:12" ht="25.5">
      <c r="A7" s="301" t="s">
        <v>234</v>
      </c>
      <c r="B7" s="711">
        <f>+'BB Loan Securities'!AE36</f>
        <v>0</v>
      </c>
      <c r="C7" s="531"/>
      <c r="D7" s="531"/>
      <c r="E7" s="531"/>
      <c r="F7" s="531"/>
      <c r="G7" s="531"/>
      <c r="H7" s="531"/>
      <c r="I7" s="531"/>
      <c r="J7" s="240"/>
      <c r="K7" s="240"/>
      <c r="L7" s="240"/>
    </row>
    <row r="8" spans="1:12" ht="12.75">
      <c r="A8" s="301" t="s">
        <v>261</v>
      </c>
      <c r="B8" s="309">
        <v>0.1</v>
      </c>
      <c r="C8" s="531"/>
      <c r="D8" s="531"/>
      <c r="E8" s="531"/>
      <c r="F8" s="531"/>
      <c r="G8" s="531"/>
      <c r="H8" s="531"/>
      <c r="I8" s="531"/>
      <c r="J8" s="240"/>
      <c r="K8" s="240"/>
      <c r="L8" s="240"/>
    </row>
    <row r="9" spans="1:12" ht="13.5" thickBot="1">
      <c r="A9" s="716" t="s">
        <v>256</v>
      </c>
      <c r="B9" s="717">
        <f>B8*ABS(B7)*1</f>
        <v>0</v>
      </c>
      <c r="C9" s="531"/>
      <c r="D9" s="531"/>
      <c r="E9" s="531"/>
      <c r="F9" s="531"/>
      <c r="G9" s="531"/>
      <c r="H9" s="531"/>
      <c r="I9" s="531"/>
      <c r="J9" s="240"/>
      <c r="K9" s="240"/>
      <c r="L9" s="240"/>
    </row>
    <row r="10" spans="1:12" ht="13.5" thickTop="1">
      <c r="A10" s="535"/>
      <c r="B10" s="535"/>
      <c r="C10" s="531"/>
      <c r="D10" s="531"/>
      <c r="E10" s="531"/>
      <c r="F10" s="531"/>
      <c r="G10" s="531"/>
      <c r="H10" s="531"/>
      <c r="I10" s="531"/>
      <c r="J10" s="240"/>
      <c r="K10" s="240"/>
      <c r="L10" s="240"/>
    </row>
    <row r="11" spans="1:12" ht="12.75">
      <c r="A11" s="536"/>
      <c r="B11" s="536"/>
      <c r="C11" s="531"/>
      <c r="D11" s="531"/>
      <c r="E11" s="531"/>
      <c r="F11" s="531"/>
      <c r="G11" s="531"/>
      <c r="H11" s="531"/>
      <c r="I11" s="531"/>
      <c r="J11" s="240"/>
      <c r="K11" s="240"/>
      <c r="L11" s="240"/>
    </row>
    <row r="12" spans="1:12" ht="18.75" customHeight="1">
      <c r="A12" s="718" t="s">
        <v>452</v>
      </c>
      <c r="B12" s="719" t="s">
        <v>361</v>
      </c>
      <c r="C12" s="719" t="s">
        <v>362</v>
      </c>
      <c r="D12" s="719" t="s">
        <v>363</v>
      </c>
      <c r="E12" s="531"/>
      <c r="F12" s="531"/>
      <c r="G12" s="531"/>
      <c r="H12" s="531"/>
      <c r="I12" s="531"/>
      <c r="J12" s="240"/>
      <c r="K12" s="6"/>
      <c r="L12" s="6"/>
    </row>
    <row r="13" spans="1:12" ht="25.5">
      <c r="A13" s="301" t="s">
        <v>364</v>
      </c>
      <c r="B13" s="711">
        <f>+'BB Loan Securities'!P41</f>
        <v>0</v>
      </c>
      <c r="C13" s="711">
        <f>+'BB Loan Securities'!Q41</f>
        <v>12119.4375</v>
      </c>
      <c r="D13" s="711">
        <f>+'BB Loan Securities'!R41</f>
        <v>0</v>
      </c>
      <c r="E13" s="531"/>
      <c r="F13" s="531"/>
      <c r="G13" s="531"/>
      <c r="H13" s="531"/>
      <c r="I13" s="531"/>
      <c r="J13" s="240"/>
      <c r="K13" s="6"/>
      <c r="L13" s="6"/>
    </row>
    <row r="14" spans="1:12" ht="25.5">
      <c r="A14" s="301" t="s">
        <v>365</v>
      </c>
      <c r="B14" s="711">
        <f>+'BB Loan Securities'!P43</f>
        <v>0</v>
      </c>
      <c r="C14" s="711">
        <f>+'BB Loan Securities'!Q43</f>
        <v>0</v>
      </c>
      <c r="D14" s="711">
        <f>+'BB Loan Securities'!R43</f>
        <v>-20557.7125</v>
      </c>
      <c r="E14" s="531"/>
      <c r="F14" s="531"/>
      <c r="G14" s="531"/>
      <c r="H14" s="531"/>
      <c r="I14" s="531"/>
      <c r="J14" s="240"/>
      <c r="K14" s="6"/>
      <c r="L14" s="6"/>
    </row>
    <row r="15" spans="1:12" ht="25.5">
      <c r="A15" s="301" t="s">
        <v>366</v>
      </c>
      <c r="B15" s="713">
        <f>IF(B13&lt;-B14,B13,B14)</f>
        <v>0</v>
      </c>
      <c r="C15" s="713">
        <f>IF(C13&lt;-C14,C13,C14)</f>
        <v>0</v>
      </c>
      <c r="D15" s="713">
        <f>IF(D13&lt;-D14,D13,D14)</f>
        <v>0</v>
      </c>
      <c r="E15" s="531"/>
      <c r="F15" s="531"/>
      <c r="G15" s="531"/>
      <c r="H15" s="531"/>
      <c r="I15" s="531"/>
      <c r="J15" s="240"/>
      <c r="K15" s="6"/>
      <c r="L15" s="6"/>
    </row>
    <row r="16" spans="1:12" ht="12.75">
      <c r="A16" s="301" t="s">
        <v>261</v>
      </c>
      <c r="B16" s="309">
        <v>0.4</v>
      </c>
      <c r="C16" s="309">
        <v>0.3</v>
      </c>
      <c r="D16" s="309">
        <v>0.3</v>
      </c>
      <c r="E16" s="531"/>
      <c r="F16" s="531"/>
      <c r="G16" s="531"/>
      <c r="H16" s="531"/>
      <c r="I16" s="531"/>
      <c r="J16" s="240"/>
      <c r="K16" s="6"/>
      <c r="L16" s="6"/>
    </row>
    <row r="17" spans="1:12" ht="18" customHeight="1" thickBot="1">
      <c r="A17" s="716" t="s">
        <v>256</v>
      </c>
      <c r="B17" s="720">
        <f>B16*ABS(B15)*1</f>
        <v>0</v>
      </c>
      <c r="C17" s="717">
        <f>C16*ABS(C15)*1</f>
        <v>0</v>
      </c>
      <c r="D17" s="717">
        <f>D16*ABS(D15)*1</f>
        <v>0</v>
      </c>
      <c r="E17" s="282" t="s">
        <v>13</v>
      </c>
      <c r="F17" s="531"/>
      <c r="G17" s="531"/>
      <c r="H17" s="531"/>
      <c r="I17" s="531"/>
      <c r="J17" s="240"/>
      <c r="K17" s="6"/>
      <c r="L17" s="6"/>
    </row>
    <row r="18" spans="1:12" ht="13.5" thickTop="1">
      <c r="A18" s="534"/>
      <c r="B18" s="534"/>
      <c r="C18" s="534"/>
      <c r="D18" s="534"/>
      <c r="E18" s="531"/>
      <c r="F18" s="531"/>
      <c r="G18" s="531"/>
      <c r="H18" s="531"/>
      <c r="I18" s="531"/>
      <c r="J18" s="240"/>
      <c r="K18" s="6"/>
      <c r="L18" s="6"/>
    </row>
    <row r="19" spans="1:12" ht="25.5">
      <c r="A19" s="301" t="s">
        <v>367</v>
      </c>
      <c r="B19" s="713">
        <f>B15+IF(B15=B13,B14,B13)</f>
        <v>0</v>
      </c>
      <c r="C19" s="713">
        <f>C15+IF(C15=C13,C14,C13)</f>
        <v>12119.4375</v>
      </c>
      <c r="D19" s="713">
        <f>D15+IF(D15=D13,D14,D13)</f>
        <v>-20557.7125</v>
      </c>
      <c r="E19" s="531"/>
      <c r="F19" s="531"/>
      <c r="G19" s="531"/>
      <c r="H19" s="532"/>
      <c r="I19" s="531"/>
      <c r="J19" s="240"/>
      <c r="K19" s="6"/>
      <c r="L19" s="6"/>
    </row>
    <row r="20" spans="1:12" ht="12.75">
      <c r="A20" s="534"/>
      <c r="B20" s="534"/>
      <c r="C20" s="534"/>
      <c r="D20" s="534"/>
      <c r="E20" s="533"/>
      <c r="F20" s="531"/>
      <c r="G20" s="531"/>
      <c r="H20" s="531"/>
      <c r="I20" s="531"/>
      <c r="J20" s="240"/>
      <c r="K20" s="6"/>
      <c r="L20" s="6"/>
    </row>
    <row r="21" spans="1:11" ht="38.25">
      <c r="A21" s="308" t="s">
        <v>368</v>
      </c>
      <c r="B21" s="487" t="s">
        <v>234</v>
      </c>
      <c r="C21" s="487" t="s">
        <v>261</v>
      </c>
      <c r="D21" s="487" t="s">
        <v>369</v>
      </c>
      <c r="E21" s="487" t="s">
        <v>370</v>
      </c>
      <c r="F21" s="487" t="s">
        <v>371</v>
      </c>
      <c r="G21" s="487" t="s">
        <v>372</v>
      </c>
      <c r="H21" s="487" t="s">
        <v>373</v>
      </c>
      <c r="I21" s="487" t="s">
        <v>374</v>
      </c>
      <c r="J21" s="9"/>
      <c r="K21" s="9"/>
    </row>
    <row r="22" spans="1:9" ht="12.75">
      <c r="A22" s="301" t="s">
        <v>375</v>
      </c>
      <c r="B22" s="713">
        <f>IF(SIGN(E22)=SIGN(F22),0,IF(I22,E22,F22))</f>
        <v>0</v>
      </c>
      <c r="C22" s="302">
        <v>0.4</v>
      </c>
      <c r="D22" s="713">
        <f>ABS(B22)*C22*1</f>
        <v>0</v>
      </c>
      <c r="E22" s="713">
        <f>B19</f>
        <v>0</v>
      </c>
      <c r="F22" s="713">
        <f>C19</f>
        <v>12119.4375</v>
      </c>
      <c r="G22" s="713">
        <f>E22+IF(I22,-B22,B22)</f>
        <v>0</v>
      </c>
      <c r="H22" s="713">
        <f>F22+IF(I22,B22,-B22)</f>
        <v>12119.4375</v>
      </c>
      <c r="I22" s="713" t="b">
        <f>ABS(E22)&lt;ABS(F22)</f>
        <v>1</v>
      </c>
    </row>
    <row r="23" spans="1:9" ht="12.75">
      <c r="A23" s="301" t="s">
        <v>376</v>
      </c>
      <c r="B23" s="713">
        <f>IF(SIGN(E23)=SIGN(F23),0,IF(I23,E23,F23))</f>
        <v>12119.4375</v>
      </c>
      <c r="C23" s="302">
        <v>0.4</v>
      </c>
      <c r="D23" s="713">
        <f>ABS(B23)*C23*1</f>
        <v>4847.775000000001</v>
      </c>
      <c r="E23" s="713">
        <f>H22</f>
        <v>12119.4375</v>
      </c>
      <c r="F23" s="713">
        <f>D19</f>
        <v>-20557.7125</v>
      </c>
      <c r="G23" s="713">
        <f>E23+IF(I23,-B23,B23)</f>
        <v>0</v>
      </c>
      <c r="H23" s="713">
        <f>F23+IF(I23,B23,-B23)</f>
        <v>-8438.275000000001</v>
      </c>
      <c r="I23" s="713" t="b">
        <f>ABS(E23)&lt;ABS(F23)</f>
        <v>1</v>
      </c>
    </row>
    <row r="24" spans="1:9" ht="12.75">
      <c r="A24" s="301" t="s">
        <v>377</v>
      </c>
      <c r="B24" s="713">
        <f>IF(SIGN(E24)=SIGN(F24),0,IF(I24,E24,F24))</f>
        <v>0</v>
      </c>
      <c r="C24" s="302">
        <v>1.5</v>
      </c>
      <c r="D24" s="713">
        <f>ABS(B24)*C24*1</f>
        <v>0</v>
      </c>
      <c r="E24" s="713">
        <f>G22</f>
        <v>0</v>
      </c>
      <c r="F24" s="713">
        <f>H23</f>
        <v>-8438.275000000001</v>
      </c>
      <c r="G24" s="713">
        <f>E24+IF(I24,-B24,B24)</f>
        <v>0</v>
      </c>
      <c r="H24" s="713">
        <f>F24+IF(I24,B24,-B24)</f>
        <v>-8438.275000000001</v>
      </c>
      <c r="I24" s="713" t="b">
        <f>ABS(E24)&lt;ABS(F24)</f>
        <v>1</v>
      </c>
    </row>
    <row r="25" spans="1:10" ht="25.5">
      <c r="A25" s="301" t="s">
        <v>378</v>
      </c>
      <c r="B25" s="713">
        <f>G23+G24+H24</f>
        <v>-8438.275000000001</v>
      </c>
      <c r="C25" s="301">
        <v>1</v>
      </c>
      <c r="D25" s="713">
        <f>ABS(B25)*C25*1</f>
        <v>8438.275000000001</v>
      </c>
      <c r="E25" s="714"/>
      <c r="F25" s="714"/>
      <c r="G25" s="714"/>
      <c r="H25" s="714"/>
      <c r="I25" s="714"/>
      <c r="J25" s="3"/>
    </row>
    <row r="26" spans="1:10" ht="39" thickBot="1">
      <c r="A26" s="538"/>
      <c r="B26" s="308" t="s">
        <v>379</v>
      </c>
      <c r="C26" s="537"/>
      <c r="D26" s="712">
        <f>SUM(D22:D25)</f>
        <v>13286.050000000003</v>
      </c>
      <c r="E26" s="721" t="s">
        <v>13</v>
      </c>
      <c r="F26" s="715"/>
      <c r="G26" s="715"/>
      <c r="H26" s="715"/>
      <c r="I26" s="715"/>
      <c r="J26" s="3"/>
    </row>
    <row r="27" spans="1:12" ht="13.5" thickTop="1">
      <c r="A27" s="536"/>
      <c r="B27" s="534"/>
      <c r="C27" s="536"/>
      <c r="D27" s="534"/>
      <c r="E27" s="536"/>
      <c r="F27" s="536"/>
      <c r="G27" s="536"/>
      <c r="H27" s="536"/>
      <c r="I27" s="536"/>
      <c r="J27" s="3"/>
      <c r="K27" s="3"/>
      <c r="L27" s="3"/>
    </row>
    <row r="28" spans="1:9" s="9" customFormat="1" ht="38.25">
      <c r="A28" s="308" t="s">
        <v>380</v>
      </c>
      <c r="B28" s="487" t="s">
        <v>234</v>
      </c>
      <c r="C28" s="487" t="s">
        <v>261</v>
      </c>
      <c r="D28" s="487" t="s">
        <v>369</v>
      </c>
      <c r="E28" s="487" t="s">
        <v>370</v>
      </c>
      <c r="F28" s="487" t="s">
        <v>371</v>
      </c>
      <c r="G28" s="487" t="s">
        <v>372</v>
      </c>
      <c r="H28" s="487" t="s">
        <v>373</v>
      </c>
      <c r="I28" s="487" t="s">
        <v>374</v>
      </c>
    </row>
    <row r="29" spans="1:9" ht="12.75">
      <c r="A29" s="301" t="s">
        <v>376</v>
      </c>
      <c r="B29" s="713">
        <f>IF(SIGN(E29)=SIGN(F29),0,IF(I29,E29,F29))</f>
        <v>12119.4375</v>
      </c>
      <c r="C29" s="302">
        <v>0.4</v>
      </c>
      <c r="D29" s="713">
        <f>ABS(B29)*C29*1</f>
        <v>4847.775000000001</v>
      </c>
      <c r="E29" s="301">
        <f>C19</f>
        <v>12119.4375</v>
      </c>
      <c r="F29" s="301">
        <f>D19</f>
        <v>-20557.7125</v>
      </c>
      <c r="G29" s="301">
        <f>E29+IF(I29,-B29,B29)</f>
        <v>0</v>
      </c>
      <c r="H29" s="301">
        <f>F29+IF(I29,B29,-B29)</f>
        <v>-8438.275000000001</v>
      </c>
      <c r="I29" s="301" t="b">
        <f>ABS(E29)&lt;ABS(F29)</f>
        <v>1</v>
      </c>
    </row>
    <row r="30" spans="1:9" ht="12.75">
      <c r="A30" s="301" t="s">
        <v>375</v>
      </c>
      <c r="B30" s="713">
        <f>IF(SIGN(E30)=SIGN(F30),0,IF(I30,E30,F30))</f>
        <v>0</v>
      </c>
      <c r="C30" s="302">
        <v>0.4</v>
      </c>
      <c r="D30" s="713">
        <f>ABS(B30)*C30*1</f>
        <v>0</v>
      </c>
      <c r="E30" s="301">
        <f>H29</f>
        <v>-8438.275000000001</v>
      </c>
      <c r="F30" s="301">
        <f>B19</f>
        <v>0</v>
      </c>
      <c r="G30" s="301">
        <f>E30+IF(I30,-B30,B30)</f>
        <v>-8438.275000000001</v>
      </c>
      <c r="H30" s="301">
        <f>F30+IF(I30,B30,-B30)</f>
        <v>0</v>
      </c>
      <c r="I30" s="301" t="b">
        <f>ABS(E30)&lt;ABS(F30)</f>
        <v>0</v>
      </c>
    </row>
    <row r="31" spans="1:9" ht="12.75">
      <c r="A31" s="301" t="s">
        <v>377</v>
      </c>
      <c r="B31" s="713">
        <f>IF(SIGN(E31)=SIGN(F31),0,IF(I31,E31,F31))</f>
        <v>0</v>
      </c>
      <c r="C31" s="302">
        <v>1.5</v>
      </c>
      <c r="D31" s="713">
        <f>ABS(B31)*C31*1</f>
        <v>0</v>
      </c>
      <c r="E31" s="301">
        <f>G29</f>
        <v>0</v>
      </c>
      <c r="F31" s="301">
        <f>H30</f>
        <v>0</v>
      </c>
      <c r="G31" s="301">
        <f>E31+IF(I31,-B31,B31)</f>
        <v>0</v>
      </c>
      <c r="H31" s="301">
        <f>F31+IF(I31,B31,-B31)</f>
        <v>0</v>
      </c>
      <c r="I31" s="301" t="b">
        <f>ABS(E31)&lt;ABS(F31)</f>
        <v>0</v>
      </c>
    </row>
    <row r="32" spans="1:12" ht="25.5">
      <c r="A32" s="301" t="s">
        <v>378</v>
      </c>
      <c r="B32" s="713">
        <f>G30+G31+H31</f>
        <v>-8438.275000000001</v>
      </c>
      <c r="C32" s="301">
        <v>1</v>
      </c>
      <c r="D32" s="713">
        <f>ABS(B32)*C32*1</f>
        <v>8438.275000000001</v>
      </c>
      <c r="E32" s="531"/>
      <c r="F32" s="531"/>
      <c r="G32" s="531"/>
      <c r="H32" s="531"/>
      <c r="I32" s="531"/>
      <c r="J32" s="3"/>
      <c r="K32" s="3"/>
      <c r="L32" s="3"/>
    </row>
    <row r="33" spans="1:12" ht="39" thickBot="1">
      <c r="A33" s="539"/>
      <c r="B33" s="308" t="s">
        <v>381</v>
      </c>
      <c r="C33" s="541"/>
      <c r="D33" s="712">
        <f>SUM(D29:D32)</f>
        <v>13286.050000000003</v>
      </c>
      <c r="E33" s="531"/>
      <c r="F33" s="531"/>
      <c r="G33" s="531"/>
      <c r="H33" s="531"/>
      <c r="I33" s="531"/>
      <c r="J33" s="3"/>
      <c r="K33" s="3"/>
      <c r="L33" s="3"/>
    </row>
    <row r="34" spans="1:12" ht="13.5" thickTop="1">
      <c r="A34" s="531"/>
      <c r="B34" s="534"/>
      <c r="C34" s="531"/>
      <c r="D34" s="534"/>
      <c r="E34" s="531"/>
      <c r="F34" s="531"/>
      <c r="G34" s="531"/>
      <c r="H34" s="531"/>
      <c r="I34" s="531"/>
      <c r="J34" s="3"/>
      <c r="K34" s="3"/>
      <c r="L34" s="3"/>
    </row>
    <row r="35" spans="1:12" ht="25.5">
      <c r="A35" s="539"/>
      <c r="B35" s="716" t="s">
        <v>382</v>
      </c>
      <c r="C35" s="541"/>
      <c r="D35" s="722">
        <f>MIN(D33,D26)</f>
        <v>13286.050000000003</v>
      </c>
      <c r="E35" s="531"/>
      <c r="F35" s="531"/>
      <c r="G35" s="531"/>
      <c r="H35" s="531"/>
      <c r="I35" s="531"/>
      <c r="J35" s="3"/>
      <c r="K35" s="3"/>
      <c r="L35" s="3"/>
    </row>
    <row r="36" spans="1:12" ht="12.75">
      <c r="A36" s="531"/>
      <c r="B36" s="535"/>
      <c r="C36" s="531"/>
      <c r="D36" s="535"/>
      <c r="E36" s="531"/>
      <c r="F36" s="531"/>
      <c r="G36" s="531"/>
      <c r="H36" s="531"/>
      <c r="I36" s="531"/>
      <c r="J36" s="3"/>
      <c r="K36" s="3"/>
      <c r="L36" s="3"/>
    </row>
    <row r="37" spans="1:12" ht="12.75">
      <c r="A37" s="531"/>
      <c r="B37" s="536"/>
      <c r="C37" s="536"/>
      <c r="D37" s="536"/>
      <c r="E37" s="531"/>
      <c r="F37" s="531"/>
      <c r="G37" s="531"/>
      <c r="H37" s="531"/>
      <c r="I37" s="531"/>
      <c r="J37" s="240"/>
      <c r="K37" s="240"/>
      <c r="L37" s="240"/>
    </row>
    <row r="38" spans="1:12" ht="18.75" thickBot="1">
      <c r="A38" s="540" t="s">
        <v>13</v>
      </c>
      <c r="B38" s="723" t="s">
        <v>383</v>
      </c>
      <c r="C38" s="724"/>
      <c r="D38" s="725">
        <f>B9+SUM(B17:D17)+D26</f>
        <v>13286.050000000003</v>
      </c>
      <c r="E38" s="721" t="s">
        <v>13</v>
      </c>
      <c r="F38" s="531"/>
      <c r="G38" s="531"/>
      <c r="H38" s="531"/>
      <c r="I38" s="531"/>
      <c r="J38" s="240"/>
      <c r="K38" s="240"/>
      <c r="L38" s="240"/>
    </row>
    <row r="39" spans="1:12" ht="13.5" thickTop="1">
      <c r="A39" s="531"/>
      <c r="B39" s="535"/>
      <c r="C39" s="535"/>
      <c r="D39" s="535"/>
      <c r="E39" s="531"/>
      <c r="F39" s="531"/>
      <c r="G39" s="531"/>
      <c r="H39" s="531"/>
      <c r="I39" s="531"/>
      <c r="J39" s="240"/>
      <c r="K39" s="240"/>
      <c r="L39" s="240"/>
    </row>
    <row r="40" spans="1:12" ht="12.75">
      <c r="A40" s="21"/>
      <c r="B40" s="9"/>
      <c r="C40" s="9"/>
      <c r="D40" s="9"/>
      <c r="E40" s="21"/>
      <c r="F40" s="21"/>
      <c r="G40" s="21"/>
      <c r="H40" s="21"/>
      <c r="I40" s="21"/>
      <c r="J40" s="3"/>
      <c r="K40" s="3"/>
      <c r="L40" s="3"/>
    </row>
    <row r="41" spans="1:9" ht="12.75">
      <c r="A41" s="21"/>
      <c r="B41" s="9"/>
      <c r="C41" s="9"/>
      <c r="D41" s="9"/>
      <c r="E41" s="9"/>
      <c r="F41" s="9"/>
      <c r="G41" s="9"/>
      <c r="H41" s="9"/>
      <c r="I41" s="9"/>
    </row>
    <row r="42" spans="1:9" ht="12.75">
      <c r="A42" s="21"/>
      <c r="B42" s="9"/>
      <c r="C42" s="9"/>
      <c r="D42" s="9"/>
      <c r="E42" s="9"/>
      <c r="F42" s="9"/>
      <c r="G42" s="9"/>
      <c r="H42" s="9"/>
      <c r="I42" s="9"/>
    </row>
    <row r="43" spans="1:9" ht="12.75">
      <c r="A43" s="21"/>
      <c r="B43" s="9"/>
      <c r="C43" s="9"/>
      <c r="D43" s="9"/>
      <c r="E43" s="9"/>
      <c r="F43" s="9"/>
      <c r="G43" s="9"/>
      <c r="H43" s="9"/>
      <c r="I43" s="9"/>
    </row>
    <row r="44" spans="1:9" ht="12.75">
      <c r="A44" s="21"/>
      <c r="B44" s="9"/>
      <c r="C44" s="9"/>
      <c r="D44" s="9"/>
      <c r="E44" s="9"/>
      <c r="F44" s="9"/>
      <c r="G44" s="9"/>
      <c r="H44" s="9"/>
      <c r="I44" s="9"/>
    </row>
    <row r="45" spans="1:9" ht="12.75">
      <c r="A45" s="21"/>
      <c r="B45" s="9"/>
      <c r="C45" s="9"/>
      <c r="D45" s="9"/>
      <c r="E45" s="9"/>
      <c r="F45" s="9"/>
      <c r="G45" s="9"/>
      <c r="H45" s="9"/>
      <c r="I45" s="9"/>
    </row>
    <row r="46" spans="1:9" ht="12.75">
      <c r="A46" s="21"/>
      <c r="B46" s="9"/>
      <c r="C46" s="9"/>
      <c r="D46" s="9"/>
      <c r="E46" s="9"/>
      <c r="F46" s="9"/>
      <c r="G46" s="9"/>
      <c r="H46" s="9"/>
      <c r="I46" s="9"/>
    </row>
    <row r="47" spans="1:9" ht="12.75">
      <c r="A47" s="21"/>
      <c r="B47" s="9"/>
      <c r="C47" s="9"/>
      <c r="D47" s="9"/>
      <c r="E47" s="9"/>
      <c r="F47" s="9"/>
      <c r="G47" s="9"/>
      <c r="H47" s="9"/>
      <c r="I47" s="9"/>
    </row>
    <row r="48" ht="12.75">
      <c r="A48" s="3"/>
    </row>
    <row r="49" ht="12.75">
      <c r="A49" s="3"/>
    </row>
    <row r="50" ht="12.75">
      <c r="A50" s="3"/>
    </row>
  </sheetData>
  <sheetProtection password="83AF" sheet="1" objects="1" scenarios="1"/>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C31"/>
  <sheetViews>
    <sheetView workbookViewId="0" topLeftCell="A1">
      <selection activeCell="A15" sqref="A15"/>
    </sheetView>
  </sheetViews>
  <sheetFormatPr defaultColWidth="9.140625" defaultRowHeight="12.75"/>
  <cols>
    <col min="1" max="1" width="57.00390625" style="0" customWidth="1"/>
    <col min="2" max="2" width="22.28125" style="0" customWidth="1"/>
    <col min="4" max="5" width="9.140625" style="9" customWidth="1"/>
  </cols>
  <sheetData>
    <row r="1" spans="1:3" ht="26.25">
      <c r="A1" s="777" t="s">
        <v>481</v>
      </c>
      <c r="C1" s="23"/>
    </row>
    <row r="2" spans="2:3" ht="23.25">
      <c r="B2" s="23"/>
      <c r="C2" s="23"/>
    </row>
    <row r="3" spans="1:3" ht="18">
      <c r="A3" s="11" t="s">
        <v>0</v>
      </c>
      <c r="B3" s="12"/>
      <c r="C3" s="12"/>
    </row>
    <row r="4" spans="1:3" ht="18.75" thickBot="1">
      <c r="A4" s="11"/>
      <c r="B4" s="12"/>
      <c r="C4" s="12"/>
    </row>
    <row r="5" spans="1:3" ht="13.5" thickBot="1">
      <c r="A5" s="477" t="s">
        <v>1</v>
      </c>
      <c r="B5" s="577" t="s">
        <v>13</v>
      </c>
      <c r="C5" s="576"/>
    </row>
    <row r="6" spans="1:3" ht="18.75" thickBot="1">
      <c r="A6" s="9"/>
      <c r="B6" s="11"/>
      <c r="C6" s="11"/>
    </row>
    <row r="7" spans="1:3" ht="13.5" thickBot="1">
      <c r="A7" s="477" t="s">
        <v>2</v>
      </c>
      <c r="B7" s="573" t="s">
        <v>13</v>
      </c>
      <c r="C7" s="15"/>
    </row>
    <row r="8" spans="1:3" ht="12.75">
      <c r="A8" s="14"/>
      <c r="B8" s="24"/>
      <c r="C8" s="15"/>
    </row>
    <row r="9" spans="1:3" ht="18">
      <c r="A9" s="14"/>
      <c r="B9" s="25" t="s">
        <v>3</v>
      </c>
      <c r="C9" s="15"/>
    </row>
    <row r="10" spans="1:3" ht="12.75">
      <c r="A10" s="13"/>
      <c r="B10" s="15"/>
      <c r="C10" s="15"/>
    </row>
    <row r="11" spans="1:3" ht="13.5" thickBot="1">
      <c r="A11" s="16" t="s">
        <v>4</v>
      </c>
      <c r="B11" s="388">
        <f>+'Own Funds'!D42</f>
        <v>0</v>
      </c>
      <c r="C11" s="13"/>
    </row>
    <row r="12" spans="1:3" ht="13.5" thickTop="1">
      <c r="A12" s="16"/>
      <c r="B12" s="389"/>
      <c r="C12" s="13"/>
    </row>
    <row r="13" spans="1:3" ht="12.75">
      <c r="A13" s="16" t="s">
        <v>5</v>
      </c>
      <c r="B13" s="390">
        <f>+'Initial Capital Req'!C4</f>
        <v>0</v>
      </c>
      <c r="C13" s="13"/>
    </row>
    <row r="14" spans="1:3" ht="12.75">
      <c r="A14" s="16" t="s">
        <v>6</v>
      </c>
      <c r="B14" s="391">
        <f>+'Annual Oper costs'!C24</f>
        <v>0</v>
      </c>
      <c r="C14" s="13"/>
    </row>
    <row r="15" spans="1:3" ht="12.75">
      <c r="A15" s="16" t="s">
        <v>7</v>
      </c>
      <c r="B15" s="389">
        <f>MAX(B13:B14)</f>
        <v>0</v>
      </c>
      <c r="C15" s="17"/>
    </row>
    <row r="16" spans="1:3" ht="12.75">
      <c r="A16" s="18" t="s">
        <v>8</v>
      </c>
      <c r="B16" s="389">
        <f>+'PRR Election'!D17</f>
        <v>0</v>
      </c>
      <c r="C16" s="13"/>
    </row>
    <row r="17" spans="1:3" ht="12.75">
      <c r="A17" s="16" t="s">
        <v>9</v>
      </c>
      <c r="B17" s="389">
        <f>+'Counterparty Risk Reqt'!B93</f>
        <v>0</v>
      </c>
      <c r="C17" s="17"/>
    </row>
    <row r="18" spans="1:3" ht="12.75">
      <c r="A18" s="16" t="s">
        <v>10</v>
      </c>
      <c r="B18" s="389">
        <f>'Large Exposure Req''t'!B19</f>
        <v>0</v>
      </c>
      <c r="C18" s="17"/>
    </row>
    <row r="19" spans="1:3" ht="12.75">
      <c r="A19" s="16" t="s">
        <v>11</v>
      </c>
      <c r="B19" s="389">
        <f>'Forex Req''t'!E22</f>
        <v>0</v>
      </c>
      <c r="C19" s="19"/>
    </row>
    <row r="20" spans="1:3" ht="12.75">
      <c r="A20" s="14"/>
      <c r="B20" s="392"/>
      <c r="C20" s="17"/>
    </row>
    <row r="21" spans="1:3" ht="13.5" thickBot="1">
      <c r="A21" s="16" t="s">
        <v>12</v>
      </c>
      <c r="B21" s="393">
        <f>SUM(B15:B19)</f>
        <v>0</v>
      </c>
      <c r="C21" s="19"/>
    </row>
    <row r="22" spans="1:3" ht="19.5" thickBot="1" thickTop="1">
      <c r="A22" s="20" t="s">
        <v>13</v>
      </c>
      <c r="B22" s="394"/>
      <c r="C22" s="17"/>
    </row>
    <row r="23" spans="1:3" ht="21" thickBot="1">
      <c r="A23" s="38" t="s">
        <v>14</v>
      </c>
      <c r="B23" s="395">
        <f>B11-B21</f>
        <v>0</v>
      </c>
      <c r="C23" s="13"/>
    </row>
    <row r="24" spans="1:3" ht="12.75">
      <c r="A24" s="13" t="s">
        <v>13</v>
      </c>
      <c r="B24" s="17"/>
      <c r="C24" s="17"/>
    </row>
    <row r="25" spans="1:3" ht="12.75">
      <c r="A25" s="13"/>
      <c r="B25" s="9"/>
      <c r="C25" s="22"/>
    </row>
    <row r="26" spans="1:3" ht="12.75">
      <c r="A26" s="9"/>
      <c r="B26" s="9"/>
      <c r="C26" s="9"/>
    </row>
    <row r="27" spans="1:3" ht="12.75">
      <c r="A27" s="13"/>
      <c r="B27" s="13"/>
      <c r="C27" s="13"/>
    </row>
    <row r="28" spans="1:3" ht="12.75">
      <c r="A28" s="9"/>
      <c r="B28" s="9"/>
      <c r="C28" s="9"/>
    </row>
    <row r="29" spans="1:3" ht="12.75">
      <c r="A29" s="13"/>
      <c r="B29" s="13"/>
      <c r="C29" s="13"/>
    </row>
    <row r="30" spans="1:3" ht="12.75">
      <c r="A30" s="9"/>
      <c r="B30" s="9"/>
      <c r="C30" s="9"/>
    </row>
    <row r="31" spans="1:3" ht="12.75">
      <c r="A31" s="13"/>
      <c r="B31" s="13"/>
      <c r="C31" s="13"/>
    </row>
  </sheetData>
  <sheetProtection sheet="1" objects="1" scenarios="1"/>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E18"/>
  <sheetViews>
    <sheetView workbookViewId="0" topLeftCell="A1">
      <selection activeCell="C5" sqref="C5"/>
    </sheetView>
  </sheetViews>
  <sheetFormatPr defaultColWidth="9.140625" defaultRowHeight="12.75"/>
  <cols>
    <col min="1" max="1" width="15.7109375" style="0" customWidth="1"/>
    <col min="2" max="2" width="23.00390625" style="0" customWidth="1"/>
    <col min="3" max="3" width="49.421875" style="0" customWidth="1"/>
    <col min="4" max="4" width="14.28125" style="0" customWidth="1"/>
  </cols>
  <sheetData>
    <row r="1" spans="1:5" ht="18">
      <c r="A1" s="29" t="s">
        <v>15</v>
      </c>
      <c r="B1" s="12"/>
      <c r="C1" s="12"/>
      <c r="D1" s="12"/>
      <c r="E1" s="21"/>
    </row>
    <row r="2" spans="1:5" ht="12.75">
      <c r="A2" s="21"/>
      <c r="B2" s="21"/>
      <c r="C2" s="21"/>
      <c r="D2" s="21"/>
      <c r="E2" s="21"/>
    </row>
    <row r="3" spans="1:5" ht="12.75">
      <c r="A3" s="21"/>
      <c r="B3" s="21"/>
      <c r="C3" s="21"/>
      <c r="D3" s="30"/>
      <c r="E3" s="21"/>
    </row>
    <row r="4" spans="1:5" ht="12.75">
      <c r="A4" s="32" t="s">
        <v>16</v>
      </c>
      <c r="B4" s="21"/>
      <c r="C4" s="387">
        <v>0</v>
      </c>
      <c r="D4" s="21"/>
      <c r="E4" s="21"/>
    </row>
    <row r="5" spans="1:5" ht="12.75">
      <c r="A5" s="21"/>
      <c r="C5" s="21" t="s">
        <v>17</v>
      </c>
      <c r="D5" s="21"/>
      <c r="E5" s="488"/>
    </row>
    <row r="6" spans="1:5" ht="13.5" thickBot="1">
      <c r="A6" s="21"/>
      <c r="B6" s="21"/>
      <c r="C6" s="21"/>
      <c r="D6" s="21"/>
      <c r="E6" s="21"/>
    </row>
    <row r="7" spans="1:5" ht="15.75">
      <c r="A7" s="492" t="s">
        <v>18</v>
      </c>
      <c r="B7" s="493"/>
      <c r="C7" s="494"/>
      <c r="D7" s="568" t="s">
        <v>19</v>
      </c>
      <c r="E7" s="32"/>
    </row>
    <row r="8" spans="1:5" ht="13.5" thickBot="1">
      <c r="A8" s="489" t="s">
        <v>20</v>
      </c>
      <c r="B8" s="491" t="s">
        <v>21</v>
      </c>
      <c r="C8" s="490"/>
      <c r="D8" s="569" t="s">
        <v>22</v>
      </c>
      <c r="E8" s="32"/>
    </row>
    <row r="9" spans="1:5" ht="12.75">
      <c r="A9" s="33" t="s">
        <v>23</v>
      </c>
      <c r="B9" s="21"/>
      <c r="C9" s="478"/>
      <c r="D9" s="570">
        <v>200000000</v>
      </c>
      <c r="E9" s="21"/>
    </row>
    <row r="10" spans="1:5" ht="12.75">
      <c r="A10" s="31" t="s">
        <v>24</v>
      </c>
      <c r="B10" s="31" t="s">
        <v>462</v>
      </c>
      <c r="C10" s="35" t="s">
        <v>464</v>
      </c>
      <c r="D10" s="571">
        <v>400000</v>
      </c>
      <c r="E10" s="21"/>
    </row>
    <row r="11" spans="1:5" ht="12.75">
      <c r="A11" s="34"/>
      <c r="B11" s="37" t="s">
        <v>463</v>
      </c>
      <c r="C11" s="35" t="s">
        <v>465</v>
      </c>
      <c r="D11" s="572">
        <v>200000</v>
      </c>
      <c r="E11" s="21"/>
    </row>
    <row r="12" spans="1:5" ht="12.75">
      <c r="A12" s="36"/>
      <c r="B12" s="37" t="s">
        <v>25</v>
      </c>
      <c r="C12" s="754" t="s">
        <v>466</v>
      </c>
      <c r="D12" s="571">
        <v>0</v>
      </c>
      <c r="E12" s="21"/>
    </row>
    <row r="13" spans="1:5" ht="12.75">
      <c r="A13" s="21"/>
      <c r="B13" s="21"/>
      <c r="C13" s="21"/>
      <c r="D13" s="21"/>
      <c r="E13" s="21"/>
    </row>
    <row r="14" spans="1:5" ht="12.75">
      <c r="A14" s="21"/>
      <c r="B14" s="21"/>
      <c r="C14" s="21"/>
      <c r="D14" s="21"/>
      <c r="E14" s="21"/>
    </row>
    <row r="15" spans="1:5" ht="12.75">
      <c r="A15" s="21"/>
      <c r="B15" s="21"/>
      <c r="C15" s="21"/>
      <c r="D15" s="21"/>
      <c r="E15" s="21"/>
    </row>
    <row r="16" spans="1:5" ht="12.75">
      <c r="A16" s="21"/>
      <c r="B16" s="21"/>
      <c r="C16" s="21"/>
      <c r="D16" s="21"/>
      <c r="E16" s="21"/>
    </row>
    <row r="17" spans="1:5" ht="12.75">
      <c r="A17" s="21"/>
      <c r="B17" s="21"/>
      <c r="C17" s="21"/>
      <c r="D17" s="21"/>
      <c r="E17" s="21"/>
    </row>
    <row r="18" spans="1:5" ht="12.75">
      <c r="A18" s="21"/>
      <c r="B18" s="21"/>
      <c r="C18" s="21"/>
      <c r="D18" s="21"/>
      <c r="E18" s="21"/>
    </row>
  </sheetData>
  <sheetProtection password="83AF" sheet="1" objects="1" scenarios="1"/>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F67"/>
  <sheetViews>
    <sheetView workbookViewId="0" topLeftCell="A22">
      <selection activeCell="A40" sqref="A40"/>
    </sheetView>
  </sheetViews>
  <sheetFormatPr defaultColWidth="9.140625" defaultRowHeight="12.75"/>
  <cols>
    <col min="1" max="1" width="47.00390625" style="0" customWidth="1"/>
    <col min="2" max="2" width="6.8515625" style="0" customWidth="1"/>
    <col min="3" max="3" width="17.7109375" style="0" customWidth="1"/>
    <col min="4" max="4" width="14.57421875" style="0" customWidth="1"/>
  </cols>
  <sheetData>
    <row r="1" spans="1:5" ht="18">
      <c r="A1" s="39" t="s">
        <v>4</v>
      </c>
      <c r="B1" s="39"/>
      <c r="C1" s="40"/>
      <c r="D1" s="41"/>
      <c r="E1" s="42"/>
    </row>
    <row r="2" spans="1:5" ht="12.75">
      <c r="A2" s="548" t="s">
        <v>27</v>
      </c>
      <c r="B2" s="548"/>
      <c r="C2" s="43"/>
      <c r="D2" s="99"/>
      <c r="E2" s="44"/>
    </row>
    <row r="3" spans="1:5" ht="12.75">
      <c r="A3" s="47"/>
      <c r="B3" s="47"/>
      <c r="C3" s="48"/>
      <c r="D3" s="45"/>
      <c r="E3" s="46"/>
    </row>
    <row r="4" spans="1:5" ht="18.75" thickBot="1">
      <c r="A4" s="49" t="s">
        <v>28</v>
      </c>
      <c r="B4" s="49"/>
      <c r="C4" s="50"/>
      <c r="D4" s="80" t="s">
        <v>3</v>
      </c>
      <c r="E4" s="46"/>
    </row>
    <row r="5" spans="1:5" ht="13.5" customHeight="1">
      <c r="A5" s="51" t="s">
        <v>29</v>
      </c>
      <c r="B5" s="83" t="s">
        <v>30</v>
      </c>
      <c r="C5" s="52"/>
      <c r="D5" s="396">
        <v>0</v>
      </c>
      <c r="E5" s="53"/>
    </row>
    <row r="6" spans="1:5" ht="18" customHeight="1">
      <c r="A6" s="54" t="s">
        <v>31</v>
      </c>
      <c r="B6" s="84" t="s">
        <v>32</v>
      </c>
      <c r="C6" s="55"/>
      <c r="D6" s="397">
        <v>0</v>
      </c>
      <c r="E6" s="53"/>
    </row>
    <row r="7" spans="1:5" ht="17.25" customHeight="1">
      <c r="A7" s="56" t="s">
        <v>33</v>
      </c>
      <c r="B7" s="84" t="s">
        <v>34</v>
      </c>
      <c r="C7" s="55"/>
      <c r="D7" s="397">
        <v>0</v>
      </c>
      <c r="E7" s="53"/>
    </row>
    <row r="8" spans="1:5" ht="24" customHeight="1">
      <c r="A8" s="56" t="s">
        <v>35</v>
      </c>
      <c r="B8" s="84" t="s">
        <v>36</v>
      </c>
      <c r="C8" s="55"/>
      <c r="D8" s="397">
        <v>0</v>
      </c>
      <c r="E8" s="53"/>
    </row>
    <row r="9" spans="1:5" ht="33" customHeight="1">
      <c r="A9" s="56" t="s">
        <v>37</v>
      </c>
      <c r="B9" s="84" t="s">
        <v>38</v>
      </c>
      <c r="C9" s="55"/>
      <c r="D9" s="397">
        <v>0</v>
      </c>
      <c r="E9" s="53"/>
    </row>
    <row r="10" spans="1:5" ht="13.5" thickBot="1">
      <c r="A10" s="54" t="s">
        <v>39</v>
      </c>
      <c r="B10" s="84" t="s">
        <v>40</v>
      </c>
      <c r="C10" s="55"/>
      <c r="D10" s="397">
        <v>0</v>
      </c>
      <c r="E10" s="53"/>
    </row>
    <row r="11" spans="1:5" ht="13.5" thickBot="1">
      <c r="A11" s="57"/>
      <c r="B11" s="85"/>
      <c r="C11" s="383" t="s">
        <v>41</v>
      </c>
      <c r="D11" s="398">
        <f>SUM(D5:D10)</f>
        <v>0</v>
      </c>
      <c r="E11" s="53"/>
    </row>
    <row r="12" spans="1:5" ht="12.75">
      <c r="A12" s="58"/>
      <c r="B12" s="58"/>
      <c r="C12" s="55"/>
      <c r="D12" s="399"/>
      <c r="E12" s="53"/>
    </row>
    <row r="13" spans="1:5" ht="16.5" thickBot="1">
      <c r="A13" s="49" t="s">
        <v>42</v>
      </c>
      <c r="B13" s="49"/>
      <c r="C13" s="50"/>
      <c r="D13" s="400"/>
      <c r="E13" s="46"/>
    </row>
    <row r="14" spans="1:5" ht="12.75">
      <c r="A14" s="59" t="s">
        <v>43</v>
      </c>
      <c r="B14" s="86" t="s">
        <v>44</v>
      </c>
      <c r="C14" s="60"/>
      <c r="D14" s="691">
        <v>0</v>
      </c>
      <c r="E14" s="53"/>
    </row>
    <row r="15" spans="1:5" ht="12.75">
      <c r="A15" s="81" t="s">
        <v>467</v>
      </c>
      <c r="B15" s="87" t="s">
        <v>45</v>
      </c>
      <c r="C15" s="61"/>
      <c r="D15" s="401">
        <v>0</v>
      </c>
      <c r="E15" s="53"/>
    </row>
    <row r="16" spans="1:5" ht="20.25" customHeight="1">
      <c r="A16" s="67" t="s">
        <v>46</v>
      </c>
      <c r="B16" s="91" t="s">
        <v>47</v>
      </c>
      <c r="C16" s="61"/>
      <c r="D16" s="771">
        <v>0</v>
      </c>
      <c r="E16" s="62"/>
    </row>
    <row r="17" spans="1:5" ht="12.75">
      <c r="A17" s="63" t="s">
        <v>48</v>
      </c>
      <c r="B17" s="76" t="s">
        <v>49</v>
      </c>
      <c r="C17" s="64"/>
      <c r="D17" s="771">
        <v>0</v>
      </c>
      <c r="E17" s="62"/>
    </row>
    <row r="18" spans="1:5" ht="33.75" customHeight="1">
      <c r="A18" s="56" t="s">
        <v>50</v>
      </c>
      <c r="B18" s="84" t="s">
        <v>51</v>
      </c>
      <c r="C18" s="64"/>
      <c r="D18" s="401">
        <v>0</v>
      </c>
      <c r="E18" s="62"/>
    </row>
    <row r="19" spans="1:5" ht="13.5" thickBot="1">
      <c r="A19" s="63" t="s">
        <v>52</v>
      </c>
      <c r="B19" s="76" t="s">
        <v>53</v>
      </c>
      <c r="C19" s="64"/>
      <c r="D19" s="402">
        <v>0</v>
      </c>
      <c r="E19" s="62"/>
    </row>
    <row r="20" spans="1:6" ht="13.5" thickBot="1">
      <c r="A20" s="82"/>
      <c r="B20" s="88"/>
      <c r="C20" s="384" t="s">
        <v>54</v>
      </c>
      <c r="D20" s="403">
        <f>SUM(D14:D19)</f>
        <v>0</v>
      </c>
      <c r="E20" s="65"/>
      <c r="F20" s="768">
        <f>+D11-D20</f>
        <v>0</v>
      </c>
    </row>
    <row r="21" spans="1:5" ht="12.75">
      <c r="A21" s="47"/>
      <c r="B21" s="47"/>
      <c r="C21" s="55"/>
      <c r="D21" s="399"/>
      <c r="E21" s="53"/>
    </row>
    <row r="22" spans="1:5" ht="16.5" thickBot="1">
      <c r="A22" s="66" t="s">
        <v>55</v>
      </c>
      <c r="B22" s="66"/>
      <c r="C22" s="50"/>
      <c r="D22" s="400"/>
      <c r="E22" s="65"/>
    </row>
    <row r="23" spans="1:5" ht="24.75" customHeight="1">
      <c r="A23" s="759" t="s">
        <v>56</v>
      </c>
      <c r="B23" s="760" t="s">
        <v>57</v>
      </c>
      <c r="C23" s="761"/>
      <c r="D23" s="772">
        <v>0</v>
      </c>
      <c r="E23" s="53"/>
    </row>
    <row r="24" spans="1:5" ht="24.75" customHeight="1">
      <c r="A24" s="138" t="s">
        <v>479</v>
      </c>
      <c r="B24" s="762" t="s">
        <v>58</v>
      </c>
      <c r="C24" s="763"/>
      <c r="D24" s="773">
        <v>0</v>
      </c>
      <c r="E24" s="53"/>
    </row>
    <row r="25" spans="1:5" ht="24.75" customHeight="1">
      <c r="A25" s="138" t="s">
        <v>468</v>
      </c>
      <c r="B25" s="762" t="s">
        <v>62</v>
      </c>
      <c r="C25" s="55"/>
      <c r="D25" s="758">
        <v>0</v>
      </c>
      <c r="E25" s="53"/>
    </row>
    <row r="26" spans="1:5" ht="45" customHeight="1">
      <c r="A26" s="764" t="s">
        <v>471</v>
      </c>
      <c r="B26" s="91" t="s">
        <v>65</v>
      </c>
      <c r="C26" s="68"/>
      <c r="D26" s="404"/>
      <c r="E26" s="53"/>
    </row>
    <row r="27" spans="1:5" ht="26.25" customHeight="1">
      <c r="A27" s="764"/>
      <c r="B27" s="91"/>
      <c r="C27" s="69" t="s">
        <v>59</v>
      </c>
      <c r="D27" s="774">
        <v>0</v>
      </c>
      <c r="E27" s="53"/>
    </row>
    <row r="28" spans="1:5" ht="19.5" customHeight="1">
      <c r="A28" s="380"/>
      <c r="B28" s="92"/>
      <c r="C28" s="765" t="s">
        <v>60</v>
      </c>
      <c r="D28" s="775">
        <v>0</v>
      </c>
      <c r="E28" s="70"/>
    </row>
    <row r="29" spans="1:5" ht="12.75" hidden="1">
      <c r="A29" s="379"/>
      <c r="B29" s="92"/>
      <c r="C29" s="71" t="s">
        <v>60</v>
      </c>
      <c r="D29" s="405">
        <v>0</v>
      </c>
      <c r="E29" s="53"/>
    </row>
    <row r="30" spans="1:5" ht="12.75" hidden="1">
      <c r="A30" s="379"/>
      <c r="B30" s="89"/>
      <c r="C30" s="72" t="s">
        <v>61</v>
      </c>
      <c r="D30" s="406">
        <f>D28-D29</f>
        <v>0</v>
      </c>
      <c r="E30" s="47"/>
    </row>
    <row r="31" spans="1:5" ht="12.75">
      <c r="A31" s="91" t="s">
        <v>472</v>
      </c>
      <c r="B31" s="93" t="s">
        <v>469</v>
      </c>
      <c r="C31" s="73"/>
      <c r="D31" s="407"/>
      <c r="E31" s="47"/>
    </row>
    <row r="32" spans="1:5" ht="12.75">
      <c r="A32" s="379"/>
      <c r="B32" s="92"/>
      <c r="C32" s="69" t="s">
        <v>63</v>
      </c>
      <c r="D32" s="774">
        <v>0</v>
      </c>
      <c r="E32" s="53"/>
    </row>
    <row r="33" spans="1:5" ht="13.5" customHeight="1">
      <c r="A33" s="380"/>
      <c r="B33" s="89"/>
      <c r="C33" s="765" t="s">
        <v>60</v>
      </c>
      <c r="D33" s="775">
        <v>0</v>
      </c>
      <c r="E33" s="53"/>
    </row>
    <row r="34" spans="1:5" ht="12.75" hidden="1">
      <c r="A34" s="380"/>
      <c r="B34" s="89"/>
      <c r="C34" s="72" t="s">
        <v>61</v>
      </c>
      <c r="D34" s="408">
        <f>D32-D33</f>
        <v>0</v>
      </c>
      <c r="E34" s="70"/>
    </row>
    <row r="35" spans="1:5" ht="26.25" thickBot="1">
      <c r="A35" s="67" t="s">
        <v>64</v>
      </c>
      <c r="B35" s="91" t="s">
        <v>470</v>
      </c>
      <c r="C35" s="55"/>
      <c r="D35" s="776">
        <v>0</v>
      </c>
      <c r="E35" s="53"/>
    </row>
    <row r="36" spans="1:5" ht="13.5" thickBot="1">
      <c r="A36" s="82"/>
      <c r="B36" s="88"/>
      <c r="C36" s="385" t="s">
        <v>66</v>
      </c>
      <c r="D36" s="398">
        <f>SUM(D23:D25)+D27-D28+D32-D33+D35</f>
        <v>0</v>
      </c>
      <c r="E36" s="53"/>
    </row>
    <row r="37" spans="1:5" ht="12.75">
      <c r="A37" s="74"/>
      <c r="B37" s="74"/>
      <c r="C37" s="55"/>
      <c r="D37" s="399"/>
      <c r="E37" s="53"/>
    </row>
    <row r="38" spans="1:5" ht="16.5" thickBot="1">
      <c r="A38" s="66" t="s">
        <v>67</v>
      </c>
      <c r="B38" s="66"/>
      <c r="C38" s="50"/>
      <c r="D38" s="400" t="s">
        <v>13</v>
      </c>
      <c r="E38" s="65"/>
    </row>
    <row r="39" spans="1:5" ht="54.75" customHeight="1" thickBot="1">
      <c r="A39" s="51" t="s">
        <v>68</v>
      </c>
      <c r="B39" s="83" t="s">
        <v>69</v>
      </c>
      <c r="C39" s="52"/>
      <c r="D39" s="691">
        <v>0</v>
      </c>
      <c r="E39" s="53"/>
    </row>
    <row r="40" spans="1:5" ht="13.5" thickBot="1">
      <c r="A40" s="57"/>
      <c r="B40" s="85"/>
      <c r="C40" s="385" t="s">
        <v>70</v>
      </c>
      <c r="D40" s="398">
        <f>D39</f>
        <v>0</v>
      </c>
      <c r="E40" s="62"/>
    </row>
    <row r="41" spans="1:5" ht="13.5" thickBot="1">
      <c r="A41" s="65"/>
      <c r="B41" s="65"/>
      <c r="C41" s="50"/>
      <c r="D41" s="400"/>
      <c r="E41" s="65"/>
    </row>
    <row r="42" spans="1:5" ht="18.75" thickBot="1">
      <c r="A42" s="94" t="s">
        <v>71</v>
      </c>
      <c r="B42" s="90"/>
      <c r="C42" s="75"/>
      <c r="D42" s="409">
        <f>D11-D20+D36-D40</f>
        <v>0</v>
      </c>
      <c r="E42" s="53"/>
    </row>
    <row r="43" spans="1:5" ht="12.75">
      <c r="A43" s="76" t="s">
        <v>72</v>
      </c>
      <c r="B43" s="76"/>
      <c r="C43" s="50"/>
      <c r="D43" s="45"/>
      <c r="E43" s="65"/>
    </row>
    <row r="44" spans="1:5" ht="12.75">
      <c r="A44" s="65"/>
      <c r="B44" s="65"/>
      <c r="C44" s="50"/>
      <c r="D44" s="45"/>
      <c r="E44" s="65"/>
    </row>
    <row r="45" spans="1:5" ht="12.75">
      <c r="A45" s="65"/>
      <c r="B45" s="65"/>
      <c r="C45" s="50"/>
      <c r="D45" s="45"/>
      <c r="E45" s="65"/>
    </row>
    <row r="46" spans="1:5" ht="12.75">
      <c r="A46" s="65"/>
      <c r="B46" s="65"/>
      <c r="C46" s="50"/>
      <c r="D46" s="45"/>
      <c r="E46" s="65"/>
    </row>
    <row r="47" spans="1:5" ht="12.75">
      <c r="A47" s="65"/>
      <c r="B47" s="65"/>
      <c r="C47" s="50"/>
      <c r="D47" s="45"/>
      <c r="E47" s="65"/>
    </row>
    <row r="48" spans="1:5" ht="12.75">
      <c r="A48" s="65"/>
      <c r="B48" s="65"/>
      <c r="C48" s="50"/>
      <c r="D48" s="45"/>
      <c r="E48" s="65"/>
    </row>
    <row r="49" spans="1:5" ht="12.75">
      <c r="A49" s="65"/>
      <c r="B49" s="65"/>
      <c r="C49" s="50"/>
      <c r="D49" s="45"/>
      <c r="E49" s="65"/>
    </row>
    <row r="50" spans="1:5" ht="12.75">
      <c r="A50" s="65"/>
      <c r="B50" s="65"/>
      <c r="C50" s="50"/>
      <c r="D50" s="45"/>
      <c r="E50" s="65"/>
    </row>
    <row r="51" spans="1:5" ht="12.75">
      <c r="A51" s="65"/>
      <c r="B51" s="65"/>
      <c r="C51" s="50"/>
      <c r="D51" s="45"/>
      <c r="E51" s="65"/>
    </row>
    <row r="52" spans="1:5" ht="12.75">
      <c r="A52" s="65"/>
      <c r="B52" s="65"/>
      <c r="C52" s="50"/>
      <c r="D52" s="45"/>
      <c r="E52" s="65"/>
    </row>
    <row r="53" spans="1:5" ht="12.75">
      <c r="A53" s="65"/>
      <c r="B53" s="65"/>
      <c r="C53" s="50"/>
      <c r="D53" s="45"/>
      <c r="E53" s="65"/>
    </row>
    <row r="54" spans="1:5" ht="12.75">
      <c r="A54" s="65"/>
      <c r="B54" s="65"/>
      <c r="C54" s="50"/>
      <c r="D54" s="45"/>
      <c r="E54" s="65"/>
    </row>
    <row r="55" spans="1:5" ht="12.75">
      <c r="A55" s="65"/>
      <c r="B55" s="65"/>
      <c r="C55" s="50"/>
      <c r="D55" s="45"/>
      <c r="E55" s="65"/>
    </row>
    <row r="56" spans="1:5" ht="12.75">
      <c r="A56" s="65"/>
      <c r="B56" s="65"/>
      <c r="C56" s="50"/>
      <c r="D56" s="45"/>
      <c r="E56" s="65"/>
    </row>
    <row r="57" spans="1:5" ht="12.75">
      <c r="A57" s="65"/>
      <c r="B57" s="65"/>
      <c r="C57" s="50"/>
      <c r="D57" s="45"/>
      <c r="E57" s="65"/>
    </row>
    <row r="58" spans="1:5" ht="12.75">
      <c r="A58" s="65"/>
      <c r="B58" s="65"/>
      <c r="C58" s="50"/>
      <c r="D58" s="45"/>
      <c r="E58" s="65"/>
    </row>
    <row r="59" spans="1:5" ht="12.75">
      <c r="A59" s="65"/>
      <c r="B59" s="65"/>
      <c r="C59" s="50"/>
      <c r="D59" s="45"/>
      <c r="E59" s="65"/>
    </row>
    <row r="60" spans="1:5" ht="12.75">
      <c r="A60" s="65"/>
      <c r="B60" s="65"/>
      <c r="C60" s="50"/>
      <c r="D60" s="45"/>
      <c r="E60" s="65"/>
    </row>
    <row r="61" spans="1:5" ht="12.75">
      <c r="A61" s="65"/>
      <c r="B61" s="65"/>
      <c r="C61" s="50"/>
      <c r="D61" s="45"/>
      <c r="E61" s="65"/>
    </row>
    <row r="62" spans="1:5" ht="12.75">
      <c r="A62" s="65"/>
      <c r="B62" s="65"/>
      <c r="C62" s="50"/>
      <c r="D62" s="45"/>
      <c r="E62" s="65"/>
    </row>
    <row r="63" spans="1:5" ht="12.75">
      <c r="A63" s="65"/>
      <c r="B63" s="65"/>
      <c r="C63" s="50"/>
      <c r="D63" s="45"/>
      <c r="E63" s="65"/>
    </row>
    <row r="64" spans="1:5" ht="12.75">
      <c r="A64" s="77"/>
      <c r="B64" s="77"/>
      <c r="C64" s="78"/>
      <c r="D64" s="79"/>
      <c r="E64" s="77"/>
    </row>
    <row r="65" spans="1:5" ht="12.75">
      <c r="A65" s="77"/>
      <c r="B65" s="77"/>
      <c r="C65" s="78"/>
      <c r="D65" s="79"/>
      <c r="E65" s="77"/>
    </row>
    <row r="66" spans="1:5" ht="12.75">
      <c r="A66" s="77"/>
      <c r="B66" s="77"/>
      <c r="C66" s="78"/>
      <c r="D66" s="79"/>
      <c r="E66" s="77"/>
    </row>
    <row r="67" spans="1:5" ht="12.75">
      <c r="A67" s="77"/>
      <c r="B67" s="77"/>
      <c r="C67" s="78"/>
      <c r="D67" s="79"/>
      <c r="E67" s="77"/>
    </row>
  </sheetData>
  <sheetProtection password="83AF" sheet="1" objects="1" scenarios="1"/>
  <printOptions/>
  <pageMargins left="0.75" right="0.75" top="1" bottom="1" header="0.5" footer="0.5"/>
  <pageSetup fitToHeight="1" fitToWidth="1" horizontalDpi="600" verticalDpi="600" orientation="portrait" scale="63" r:id="rId3"/>
  <legacyDrawing r:id="rId2"/>
</worksheet>
</file>

<file path=xl/worksheets/sheet5.xml><?xml version="1.0" encoding="utf-8"?>
<worksheet xmlns="http://schemas.openxmlformats.org/spreadsheetml/2006/main" xmlns:r="http://schemas.openxmlformats.org/officeDocument/2006/relationships">
  <dimension ref="A1:D38"/>
  <sheetViews>
    <sheetView workbookViewId="0" topLeftCell="A1">
      <selection activeCell="C16" sqref="C16"/>
    </sheetView>
  </sheetViews>
  <sheetFormatPr defaultColWidth="9.140625" defaultRowHeight="12.75"/>
  <cols>
    <col min="1" max="1" width="48.8515625" style="0" customWidth="1"/>
    <col min="2" max="2" width="15.8515625" style="0" customWidth="1"/>
    <col min="3" max="3" width="21.8515625" style="0" customWidth="1"/>
  </cols>
  <sheetData>
    <row r="1" spans="1:4" ht="18">
      <c r="A1" s="95" t="s">
        <v>73</v>
      </c>
      <c r="B1" s="9"/>
      <c r="C1" s="96"/>
      <c r="D1" s="97"/>
    </row>
    <row r="2" spans="1:4" ht="18">
      <c r="A2" s="95"/>
      <c r="B2" s="9"/>
      <c r="C2" s="96"/>
      <c r="D2" s="97"/>
    </row>
    <row r="3" spans="1:4" ht="18">
      <c r="A3" s="103" t="s">
        <v>27</v>
      </c>
      <c r="B3" s="9"/>
      <c r="C3" s="80" t="s">
        <v>3</v>
      </c>
      <c r="D3" s="97"/>
    </row>
    <row r="4" spans="1:4" ht="13.5" thickBot="1">
      <c r="A4" s="47"/>
      <c r="B4" s="98"/>
      <c r="C4" s="99"/>
      <c r="D4" s="98"/>
    </row>
    <row r="5" spans="1:4" ht="12.75">
      <c r="A5" s="59" t="s">
        <v>74</v>
      </c>
      <c r="B5" s="100"/>
      <c r="C5" s="410">
        <v>0</v>
      </c>
      <c r="D5" s="101"/>
    </row>
    <row r="6" spans="1:4" ht="13.5" thickBot="1">
      <c r="A6" s="63" t="s">
        <v>75</v>
      </c>
      <c r="B6" s="101"/>
      <c r="C6" s="411">
        <v>0</v>
      </c>
      <c r="D6" s="102"/>
    </row>
    <row r="7" spans="1:4" ht="13.5" thickBot="1">
      <c r="A7" s="113"/>
      <c r="B7" s="575" t="s">
        <v>76</v>
      </c>
      <c r="C7" s="412">
        <f>C5+C6</f>
        <v>0</v>
      </c>
      <c r="D7" s="102"/>
    </row>
    <row r="8" spans="1:4" ht="13.5" thickBot="1">
      <c r="A8" s="103"/>
      <c r="B8" s="47"/>
      <c r="C8" s="413"/>
      <c r="D8" s="47"/>
    </row>
    <row r="9" spans="1:4" ht="13.5" thickBot="1">
      <c r="A9" s="382" t="s">
        <v>77</v>
      </c>
      <c r="B9" s="47"/>
      <c r="C9" s="574">
        <v>0</v>
      </c>
      <c r="D9" s="47"/>
    </row>
    <row r="10" spans="1:4" ht="13.5" thickBot="1">
      <c r="A10" s="86"/>
      <c r="B10" s="86" t="s">
        <v>78</v>
      </c>
      <c r="C10" s="414">
        <f>+C7-C9</f>
        <v>0</v>
      </c>
      <c r="D10" s="47"/>
    </row>
    <row r="11" spans="1:4" ht="13.5" thickBot="1">
      <c r="A11" s="76"/>
      <c r="B11" s="76"/>
      <c r="C11" s="413"/>
      <c r="D11" s="47"/>
    </row>
    <row r="12" spans="1:4" ht="13.5" thickBot="1">
      <c r="A12" s="382" t="s">
        <v>579</v>
      </c>
      <c r="B12" s="47"/>
      <c r="C12" s="415">
        <f>SUM(C13:C21)</f>
        <v>0</v>
      </c>
      <c r="D12" s="47"/>
    </row>
    <row r="13" spans="1:4" ht="18" customHeight="1">
      <c r="A13" s="59" t="s">
        <v>79</v>
      </c>
      <c r="B13" s="100"/>
      <c r="C13" s="416">
        <v>0</v>
      </c>
      <c r="D13" s="101"/>
    </row>
    <row r="14" spans="1:4" ht="12.75">
      <c r="A14" s="381" t="s">
        <v>80</v>
      </c>
      <c r="B14" s="102"/>
      <c r="C14" s="417">
        <v>0</v>
      </c>
      <c r="D14" s="102"/>
    </row>
    <row r="15" spans="1:4" ht="12.75">
      <c r="A15" s="54" t="s">
        <v>81</v>
      </c>
      <c r="B15" s="101"/>
      <c r="C15" s="417">
        <v>0</v>
      </c>
      <c r="D15" s="102"/>
    </row>
    <row r="16" spans="1:4" ht="12.75">
      <c r="A16" s="67" t="s">
        <v>82</v>
      </c>
      <c r="B16" s="101"/>
      <c r="C16" s="417">
        <v>0</v>
      </c>
      <c r="D16" s="102"/>
    </row>
    <row r="17" spans="1:4" ht="12.75">
      <c r="A17" s="67" t="s">
        <v>83</v>
      </c>
      <c r="B17" s="102"/>
      <c r="C17" s="417">
        <v>0</v>
      </c>
      <c r="D17" s="102"/>
    </row>
    <row r="18" spans="1:4" ht="12.75">
      <c r="A18" s="67" t="s">
        <v>84</v>
      </c>
      <c r="B18" s="102"/>
      <c r="C18" s="417">
        <v>0</v>
      </c>
      <c r="D18" s="102"/>
    </row>
    <row r="19" spans="1:4" ht="12.75">
      <c r="A19" s="56" t="s">
        <v>85</v>
      </c>
      <c r="B19" s="102"/>
      <c r="C19" s="417"/>
      <c r="D19" s="102"/>
    </row>
    <row r="20" spans="1:4" ht="12.75">
      <c r="A20" s="56" t="s">
        <v>129</v>
      </c>
      <c r="B20" s="102"/>
      <c r="C20" s="417"/>
      <c r="D20" s="102"/>
    </row>
    <row r="21" spans="1:4" ht="13.5" thickBot="1">
      <c r="A21" s="105" t="s">
        <v>86</v>
      </c>
      <c r="B21" s="106"/>
      <c r="C21" s="418"/>
      <c r="D21" s="101"/>
    </row>
    <row r="22" spans="1:4" ht="13.5" thickBot="1">
      <c r="A22" s="113"/>
      <c r="B22" s="76" t="s">
        <v>578</v>
      </c>
      <c r="C22" s="419">
        <f>C10-C12</f>
        <v>0</v>
      </c>
      <c r="D22" s="101"/>
    </row>
    <row r="23" spans="1:4" ht="13.5" thickBot="1">
      <c r="A23" s="47"/>
      <c r="B23" s="76"/>
      <c r="C23" s="420"/>
      <c r="D23" s="101"/>
    </row>
    <row r="24" spans="1:4" ht="18.75" thickBot="1">
      <c r="A24" s="107"/>
      <c r="B24" s="114" t="s">
        <v>87</v>
      </c>
      <c r="C24" s="415">
        <f>C22/4</f>
        <v>0</v>
      </c>
      <c r="D24" s="47"/>
    </row>
    <row r="25" spans="1:4" ht="12.75">
      <c r="A25" s="108"/>
      <c r="B25" s="101"/>
      <c r="C25" s="421"/>
      <c r="D25" s="101"/>
    </row>
    <row r="26" spans="1:4" ht="12.75">
      <c r="A26" s="108"/>
      <c r="B26" s="101"/>
      <c r="C26" s="421"/>
      <c r="D26" s="101"/>
    </row>
    <row r="27" spans="1:4" ht="12.75">
      <c r="A27" s="110" t="s">
        <v>88</v>
      </c>
      <c r="B27" s="47"/>
      <c r="C27" s="413"/>
      <c r="D27" s="47"/>
    </row>
    <row r="28" spans="1:4" ht="12.75">
      <c r="A28" s="111" t="s">
        <v>89</v>
      </c>
      <c r="B28" s="101"/>
      <c r="C28" s="421"/>
      <c r="D28" s="101"/>
    </row>
    <row r="29" spans="1:4" ht="12.75">
      <c r="A29" s="47" t="s">
        <v>90</v>
      </c>
      <c r="B29" s="47"/>
      <c r="C29" s="104"/>
      <c r="D29" s="47"/>
    </row>
    <row r="30" spans="1:4" ht="12.75">
      <c r="A30" s="111" t="s">
        <v>91</v>
      </c>
      <c r="B30" s="101"/>
      <c r="C30" s="109"/>
      <c r="D30" s="101"/>
    </row>
    <row r="31" spans="1:4" ht="12.75">
      <c r="A31" s="47" t="s">
        <v>92</v>
      </c>
      <c r="B31" s="47"/>
      <c r="C31" s="104"/>
      <c r="D31" s="47"/>
    </row>
    <row r="32" spans="1:4" ht="12.75">
      <c r="A32" s="108"/>
      <c r="B32" s="101"/>
      <c r="C32" s="109"/>
      <c r="D32" s="101"/>
    </row>
    <row r="33" spans="1:4" ht="12.75">
      <c r="A33" s="47"/>
      <c r="B33" s="47"/>
      <c r="C33" s="104"/>
      <c r="D33" s="47"/>
    </row>
    <row r="34" spans="1:4" ht="12.75">
      <c r="A34" s="76"/>
      <c r="B34" s="47"/>
      <c r="C34" s="104"/>
      <c r="D34" s="47"/>
    </row>
    <row r="35" spans="1:4" ht="12.75">
      <c r="A35" s="47"/>
      <c r="B35" s="47"/>
      <c r="C35" s="104"/>
      <c r="D35" s="47"/>
    </row>
    <row r="36" spans="1:4" ht="12.75">
      <c r="A36" s="47"/>
      <c r="B36" s="47"/>
      <c r="C36" s="104"/>
      <c r="D36" s="47"/>
    </row>
    <row r="37" spans="1:4" ht="12.75">
      <c r="A37" s="47"/>
      <c r="B37" s="47"/>
      <c r="C37" s="104"/>
      <c r="D37" s="47"/>
    </row>
    <row r="38" spans="1:4" ht="12.75">
      <c r="A38" s="47"/>
      <c r="B38" s="47"/>
      <c r="C38" s="104"/>
      <c r="D38" s="47"/>
    </row>
  </sheetData>
  <sheetProtection password="83AF" sheet="1" objects="1" scenarios="1"/>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N88"/>
  <sheetViews>
    <sheetView workbookViewId="0" topLeftCell="A1">
      <selection activeCell="C13" sqref="C13"/>
    </sheetView>
  </sheetViews>
  <sheetFormatPr defaultColWidth="9.140625" defaultRowHeight="12.75"/>
  <cols>
    <col min="2" max="2" width="43.7109375" style="0" customWidth="1"/>
    <col min="4" max="4" width="10.28125" style="0" bestFit="1" customWidth="1"/>
  </cols>
  <sheetData>
    <row r="1" spans="1:14" ht="18">
      <c r="A1" s="9"/>
      <c r="B1" s="115" t="s">
        <v>93</v>
      </c>
      <c r="C1" s="9"/>
      <c r="D1" s="9"/>
      <c r="E1" s="9"/>
      <c r="F1" s="9"/>
      <c r="G1" s="9"/>
      <c r="H1" s="9"/>
      <c r="I1" s="9"/>
      <c r="J1" s="9"/>
      <c r="K1" s="9"/>
      <c r="L1" s="9"/>
      <c r="M1" s="9"/>
      <c r="N1" s="9"/>
    </row>
    <row r="2" spans="1:14" ht="12.75">
      <c r="A2" s="9"/>
      <c r="B2" s="9"/>
      <c r="C2" s="9"/>
      <c r="D2" s="9"/>
      <c r="E2" s="9"/>
      <c r="F2" s="9"/>
      <c r="G2" s="9"/>
      <c r="H2" s="9"/>
      <c r="I2" s="9"/>
      <c r="J2" s="9"/>
      <c r="K2" s="9"/>
      <c r="L2" s="9"/>
      <c r="M2" s="9"/>
      <c r="N2" s="9"/>
    </row>
    <row r="3" spans="1:14" ht="12.75">
      <c r="A3" s="311" t="s">
        <v>94</v>
      </c>
      <c r="B3" s="9"/>
      <c r="C3" s="9"/>
      <c r="D3" s="9"/>
      <c r="E3" s="9"/>
      <c r="F3" s="9"/>
      <c r="G3" s="9"/>
      <c r="H3" s="9"/>
      <c r="I3" s="9"/>
      <c r="J3" s="9"/>
      <c r="K3" s="9"/>
      <c r="L3" s="9"/>
      <c r="M3" s="9"/>
      <c r="N3" s="9"/>
    </row>
    <row r="4" spans="1:14" ht="13.5" thickBot="1">
      <c r="A4" s="9"/>
      <c r="B4" s="9"/>
      <c r="C4" s="9"/>
      <c r="D4" s="9"/>
      <c r="E4" s="9"/>
      <c r="F4" s="9"/>
      <c r="G4" s="9"/>
      <c r="H4" s="9"/>
      <c r="I4" s="9"/>
      <c r="J4" s="9"/>
      <c r="K4" s="9"/>
      <c r="L4" s="9"/>
      <c r="M4" s="9"/>
      <c r="N4" s="9"/>
    </row>
    <row r="5" spans="1:14" ht="12.75">
      <c r="A5" s="9"/>
      <c r="B5" s="116" t="s">
        <v>95</v>
      </c>
      <c r="C5" s="120" t="s">
        <v>458</v>
      </c>
      <c r="D5" s="9">
        <f>IF(F8&lt;&gt;1,"Enter one","")</f>
      </c>
      <c r="E5" s="9"/>
      <c r="F5" s="9">
        <f>IF(C5="Y",1,0)</f>
        <v>1</v>
      </c>
      <c r="G5" s="9"/>
      <c r="H5" s="9"/>
      <c r="I5" s="9"/>
      <c r="J5" s="9"/>
      <c r="K5" s="9"/>
      <c r="L5" s="9"/>
      <c r="M5" s="9"/>
      <c r="N5" s="9"/>
    </row>
    <row r="6" spans="1:14" ht="12.75">
      <c r="A6" s="9"/>
      <c r="B6" s="117" t="s">
        <v>96</v>
      </c>
      <c r="C6" s="122">
        <v>0</v>
      </c>
      <c r="D6" s="9">
        <f>IF(F8&lt;&gt;1,"and only","")</f>
      </c>
      <c r="E6" s="9"/>
      <c r="F6" s="9">
        <f>IF(C6="Y",1,0)</f>
        <v>0</v>
      </c>
      <c r="G6" s="9"/>
      <c r="H6" s="9"/>
      <c r="I6" s="9"/>
      <c r="J6" s="9"/>
      <c r="K6" s="9"/>
      <c r="L6" s="9"/>
      <c r="M6" s="9"/>
      <c r="N6" s="9"/>
    </row>
    <row r="7" spans="1:14" ht="13.5" thickBot="1">
      <c r="A7" s="9"/>
      <c r="B7" s="118" t="s">
        <v>97</v>
      </c>
      <c r="C7" s="121">
        <v>0</v>
      </c>
      <c r="D7" s="9">
        <f>IF(F8&lt;&gt;1,"one ""Y""!!","")</f>
      </c>
      <c r="E7" s="9"/>
      <c r="F7" s="9">
        <f>IF(C7="Y",1,0)</f>
        <v>0</v>
      </c>
      <c r="G7" s="9"/>
      <c r="H7" s="9"/>
      <c r="I7" s="9"/>
      <c r="J7" s="9"/>
      <c r="K7" s="9"/>
      <c r="L7" s="9"/>
      <c r="M7" s="9"/>
      <c r="N7" s="9"/>
    </row>
    <row r="8" spans="1:14" ht="12.75">
      <c r="A8" s="299" t="s">
        <v>98</v>
      </c>
      <c r="B8" s="9"/>
      <c r="C8" s="9"/>
      <c r="D8" s="9"/>
      <c r="E8" s="9"/>
      <c r="F8" s="9">
        <f>SUM(F5:F7)</f>
        <v>1</v>
      </c>
      <c r="G8" s="9"/>
      <c r="H8" s="9"/>
      <c r="I8" s="9"/>
      <c r="J8" s="9"/>
      <c r="K8" s="9"/>
      <c r="L8" s="9"/>
      <c r="M8" s="9"/>
      <c r="N8" s="9"/>
    </row>
    <row r="9" spans="1:14" ht="12.75">
      <c r="A9" s="123" t="s">
        <v>99</v>
      </c>
      <c r="B9" s="9"/>
      <c r="C9" s="9"/>
      <c r="D9" s="9"/>
      <c r="E9" s="9"/>
      <c r="F9" s="9"/>
      <c r="G9" s="9"/>
      <c r="H9" s="9"/>
      <c r="I9" s="9"/>
      <c r="J9" s="9"/>
      <c r="K9" s="9"/>
      <c r="L9" s="9"/>
      <c r="M9" s="9"/>
      <c r="N9" s="9"/>
    </row>
    <row r="10" spans="1:14" ht="12.75">
      <c r="A10" s="123"/>
      <c r="B10" s="9"/>
      <c r="C10" s="9"/>
      <c r="D10" s="9"/>
      <c r="E10" s="9"/>
      <c r="F10" s="9"/>
      <c r="G10" s="9"/>
      <c r="H10" s="9"/>
      <c r="I10" s="9"/>
      <c r="J10" s="9"/>
      <c r="K10" s="9"/>
      <c r="L10" s="9"/>
      <c r="M10" s="9"/>
      <c r="N10" s="9"/>
    </row>
    <row r="11" spans="1:14" ht="12.75">
      <c r="A11" s="123" t="s">
        <v>100</v>
      </c>
      <c r="B11" s="9"/>
      <c r="C11" s="9"/>
      <c r="D11" s="9"/>
      <c r="E11" s="9"/>
      <c r="F11" s="9"/>
      <c r="G11" s="9"/>
      <c r="H11" s="9"/>
      <c r="I11" s="9"/>
      <c r="J11" s="9"/>
      <c r="K11" s="9"/>
      <c r="L11" s="9"/>
      <c r="M11" s="9"/>
      <c r="N11" s="9"/>
    </row>
    <row r="12" spans="1:14" ht="12.75">
      <c r="A12" s="27" t="s">
        <v>101</v>
      </c>
      <c r="B12" s="9"/>
      <c r="C12" s="9"/>
      <c r="D12" s="9"/>
      <c r="E12" s="9"/>
      <c r="F12" s="9"/>
      <c r="G12" s="9"/>
      <c r="H12" s="9"/>
      <c r="I12" s="9"/>
      <c r="J12" s="9"/>
      <c r="K12" s="9"/>
      <c r="L12" s="9"/>
      <c r="M12" s="9"/>
      <c r="N12" s="9"/>
    </row>
    <row r="13" spans="1:14" ht="12.75">
      <c r="A13" s="27"/>
      <c r="B13" s="9"/>
      <c r="C13" s="9"/>
      <c r="D13" s="9"/>
      <c r="E13" s="9"/>
      <c r="F13" s="9"/>
      <c r="G13" s="9"/>
      <c r="H13" s="9"/>
      <c r="I13" s="9"/>
      <c r="J13" s="9"/>
      <c r="K13" s="9"/>
      <c r="L13" s="9"/>
      <c r="M13" s="9"/>
      <c r="N13" s="9"/>
    </row>
    <row r="14" spans="1:14" ht="12.75">
      <c r="A14" s="123" t="s">
        <v>102</v>
      </c>
      <c r="B14" s="9"/>
      <c r="C14" s="9"/>
      <c r="D14" s="422">
        <v>0</v>
      </c>
      <c r="E14" s="9"/>
      <c r="F14" s="9"/>
      <c r="G14" s="9"/>
      <c r="H14" s="9"/>
      <c r="I14" s="9"/>
      <c r="J14" s="9"/>
      <c r="K14" s="9"/>
      <c r="L14" s="9"/>
      <c r="M14" s="9"/>
      <c r="N14" s="9"/>
    </row>
    <row r="15" spans="1:14" ht="12.75">
      <c r="A15" s="123"/>
      <c r="B15" s="9" t="s">
        <v>103</v>
      </c>
      <c r="C15" s="9"/>
      <c r="D15" s="124"/>
      <c r="E15" s="9"/>
      <c r="F15" s="9"/>
      <c r="G15" s="9"/>
      <c r="H15" s="9"/>
      <c r="I15" s="9"/>
      <c r="J15" s="9"/>
      <c r="K15" s="9"/>
      <c r="L15" s="9"/>
      <c r="M15" s="9"/>
      <c r="N15" s="9"/>
    </row>
    <row r="16" spans="1:14" ht="13.5" thickBot="1">
      <c r="A16" s="9"/>
      <c r="B16" s="9"/>
      <c r="C16" s="9"/>
      <c r="D16" s="119"/>
      <c r="E16" s="9"/>
      <c r="F16" s="9"/>
      <c r="G16" s="9"/>
      <c r="H16" s="9"/>
      <c r="I16" s="9"/>
      <c r="J16" s="9"/>
      <c r="K16" s="9"/>
      <c r="L16" s="9"/>
      <c r="M16" s="9"/>
      <c r="N16" s="9"/>
    </row>
    <row r="17" spans="1:14" ht="18.75" thickBot="1">
      <c r="A17" s="9"/>
      <c r="B17" s="306" t="s">
        <v>8</v>
      </c>
      <c r="C17" s="307"/>
      <c r="D17" s="423">
        <f>IF(F8&lt;&gt;1,NA(),IF(F5=1,'Simple Method'!E49,IF('PRR Election'!F6=1,' BBLS sum'!H20+'BB Securities etc'!F52,'PRR Election'!D14)))</f>
        <v>0</v>
      </c>
      <c r="E17" s="9"/>
      <c r="F17" s="9"/>
      <c r="G17" s="9"/>
      <c r="H17" s="9"/>
      <c r="I17" s="9"/>
      <c r="J17" s="9"/>
      <c r="K17" s="9"/>
      <c r="L17" s="9"/>
      <c r="M17" s="9"/>
      <c r="N17" s="9"/>
    </row>
    <row r="18" spans="1:14" ht="12.75">
      <c r="A18" s="9"/>
      <c r="B18" s="9"/>
      <c r="C18" s="9"/>
      <c r="D18" s="9"/>
      <c r="E18" s="9"/>
      <c r="F18" s="9"/>
      <c r="G18" s="9"/>
      <c r="H18" s="9"/>
      <c r="I18" s="9"/>
      <c r="J18" s="9"/>
      <c r="K18" s="9"/>
      <c r="L18" s="9"/>
      <c r="M18" s="9"/>
      <c r="N18" s="9"/>
    </row>
    <row r="19" spans="1:14" ht="12.75">
      <c r="A19" s="9"/>
      <c r="B19" s="9"/>
      <c r="C19" s="9"/>
      <c r="D19" s="9"/>
      <c r="E19" s="9"/>
      <c r="F19" s="9"/>
      <c r="G19" s="9"/>
      <c r="H19" s="9"/>
      <c r="I19" s="9"/>
      <c r="J19" s="9"/>
      <c r="K19" s="9"/>
      <c r="L19" s="9"/>
      <c r="M19" s="9"/>
      <c r="N19" s="9"/>
    </row>
    <row r="20" spans="1:14" ht="12.75">
      <c r="A20" s="9"/>
      <c r="B20" s="9"/>
      <c r="C20" s="9"/>
      <c r="D20" s="9"/>
      <c r="E20" s="9"/>
      <c r="F20" s="9"/>
      <c r="G20" s="9"/>
      <c r="H20" s="9"/>
      <c r="I20" s="9"/>
      <c r="J20" s="9"/>
      <c r="K20" s="9"/>
      <c r="L20" s="9"/>
      <c r="M20" s="9"/>
      <c r="N20" s="9"/>
    </row>
    <row r="21" spans="1:14" ht="12.75">
      <c r="A21" s="9"/>
      <c r="B21" s="9"/>
      <c r="C21" s="9"/>
      <c r="D21" s="9"/>
      <c r="E21" s="9"/>
      <c r="F21" s="9"/>
      <c r="G21" s="9"/>
      <c r="H21" s="9"/>
      <c r="I21" s="9"/>
      <c r="J21" s="9"/>
      <c r="K21" s="9"/>
      <c r="L21" s="9"/>
      <c r="M21" s="9"/>
      <c r="N21" s="9"/>
    </row>
    <row r="22" spans="1:14" ht="12.75">
      <c r="A22" s="9"/>
      <c r="B22" s="9"/>
      <c r="C22" s="9"/>
      <c r="D22" s="9"/>
      <c r="E22" s="9"/>
      <c r="F22" s="9"/>
      <c r="G22" s="9"/>
      <c r="H22" s="9"/>
      <c r="I22" s="9"/>
      <c r="J22" s="9"/>
      <c r="K22" s="9"/>
      <c r="L22" s="9"/>
      <c r="M22" s="9"/>
      <c r="N22" s="9"/>
    </row>
    <row r="23" spans="1:14" ht="12.75">
      <c r="A23" s="9"/>
      <c r="B23" s="9"/>
      <c r="C23" s="9"/>
      <c r="D23" s="9"/>
      <c r="E23" s="9"/>
      <c r="F23" s="9"/>
      <c r="G23" s="9"/>
      <c r="H23" s="9"/>
      <c r="I23" s="9"/>
      <c r="J23" s="9"/>
      <c r="K23" s="9"/>
      <c r="L23" s="9"/>
      <c r="M23" s="9"/>
      <c r="N23" s="9"/>
    </row>
    <row r="24" spans="1:14" ht="12.75">
      <c r="A24" s="9"/>
      <c r="B24" s="9"/>
      <c r="C24" s="9"/>
      <c r="D24" s="9"/>
      <c r="E24" s="9"/>
      <c r="F24" s="9"/>
      <c r="G24" s="9"/>
      <c r="H24" s="9"/>
      <c r="I24" s="9"/>
      <c r="J24" s="9"/>
      <c r="K24" s="9"/>
      <c r="L24" s="9"/>
      <c r="M24" s="9"/>
      <c r="N24" s="9"/>
    </row>
    <row r="25" spans="1:14" ht="12.75">
      <c r="A25" s="9"/>
      <c r="B25" s="9"/>
      <c r="C25" s="9"/>
      <c r="D25" s="9"/>
      <c r="E25" s="9"/>
      <c r="F25" s="9"/>
      <c r="G25" s="9"/>
      <c r="H25" s="9"/>
      <c r="I25" s="9"/>
      <c r="J25" s="9"/>
      <c r="K25" s="9"/>
      <c r="L25" s="9"/>
      <c r="M25" s="9"/>
      <c r="N25" s="9"/>
    </row>
    <row r="26" spans="1:14" ht="12.75">
      <c r="A26" s="9"/>
      <c r="B26" s="9"/>
      <c r="C26" s="9"/>
      <c r="D26" s="9"/>
      <c r="E26" s="9"/>
      <c r="F26" s="9"/>
      <c r="G26" s="9"/>
      <c r="H26" s="9"/>
      <c r="I26" s="9"/>
      <c r="J26" s="9"/>
      <c r="K26" s="9"/>
      <c r="L26" s="9"/>
      <c r="M26" s="9"/>
      <c r="N26" s="9"/>
    </row>
    <row r="27" spans="1:14" ht="12.75">
      <c r="A27" s="9"/>
      <c r="B27" s="9"/>
      <c r="C27" s="9"/>
      <c r="D27" s="9"/>
      <c r="E27" s="9"/>
      <c r="F27" s="9"/>
      <c r="G27" s="9"/>
      <c r="H27" s="9"/>
      <c r="I27" s="9"/>
      <c r="J27" s="9"/>
      <c r="K27" s="9"/>
      <c r="L27" s="9"/>
      <c r="M27" s="9"/>
      <c r="N27" s="9"/>
    </row>
    <row r="28" spans="1:14" ht="12.75">
      <c r="A28" s="9"/>
      <c r="B28" s="9"/>
      <c r="C28" s="9"/>
      <c r="D28" s="9"/>
      <c r="E28" s="9"/>
      <c r="F28" s="9"/>
      <c r="G28" s="9"/>
      <c r="H28" s="9"/>
      <c r="I28" s="9"/>
      <c r="J28" s="9"/>
      <c r="K28" s="9"/>
      <c r="L28" s="9"/>
      <c r="M28" s="9"/>
      <c r="N28" s="9"/>
    </row>
    <row r="29" spans="1:14" ht="12.75">
      <c r="A29" s="9"/>
      <c r="B29" s="9"/>
      <c r="C29" s="9"/>
      <c r="D29" s="9"/>
      <c r="E29" s="9"/>
      <c r="F29" s="9"/>
      <c r="G29" s="9"/>
      <c r="H29" s="9"/>
      <c r="I29" s="9"/>
      <c r="J29" s="9"/>
      <c r="K29" s="9"/>
      <c r="L29" s="9"/>
      <c r="M29" s="9"/>
      <c r="N29" s="9"/>
    </row>
    <row r="30" spans="1:14" ht="12.75">
      <c r="A30" s="9"/>
      <c r="B30" s="9"/>
      <c r="C30" s="9"/>
      <c r="D30" s="9"/>
      <c r="E30" s="9"/>
      <c r="F30" s="9"/>
      <c r="G30" s="9"/>
      <c r="H30" s="9"/>
      <c r="I30" s="9"/>
      <c r="J30" s="9"/>
      <c r="K30" s="9"/>
      <c r="L30" s="9"/>
      <c r="M30" s="9"/>
      <c r="N30" s="9"/>
    </row>
    <row r="31" spans="1:14" ht="12.75">
      <c r="A31" s="9"/>
      <c r="B31" s="9"/>
      <c r="C31" s="9"/>
      <c r="D31" s="9"/>
      <c r="E31" s="9"/>
      <c r="F31" s="9"/>
      <c r="G31" s="9"/>
      <c r="H31" s="9"/>
      <c r="I31" s="9"/>
      <c r="J31" s="9"/>
      <c r="K31" s="9"/>
      <c r="L31" s="9"/>
      <c r="M31" s="9"/>
      <c r="N31" s="9"/>
    </row>
    <row r="32" spans="1:14" ht="12.75">
      <c r="A32" s="9"/>
      <c r="B32" s="9"/>
      <c r="C32" s="9"/>
      <c r="D32" s="9"/>
      <c r="E32" s="9"/>
      <c r="F32" s="9"/>
      <c r="G32" s="9"/>
      <c r="H32" s="9"/>
      <c r="I32" s="9"/>
      <c r="J32" s="9"/>
      <c r="K32" s="9"/>
      <c r="L32" s="9"/>
      <c r="M32" s="9"/>
      <c r="N32" s="9"/>
    </row>
    <row r="33" spans="1:14" ht="12.75">
      <c r="A33" s="9"/>
      <c r="B33" s="9"/>
      <c r="C33" s="9"/>
      <c r="D33" s="9"/>
      <c r="E33" s="9"/>
      <c r="F33" s="9"/>
      <c r="G33" s="9"/>
      <c r="H33" s="9"/>
      <c r="I33" s="9"/>
      <c r="J33" s="9"/>
      <c r="K33" s="9"/>
      <c r="L33" s="9"/>
      <c r="M33" s="9"/>
      <c r="N33" s="9"/>
    </row>
    <row r="34" spans="1:14" ht="12.75">
      <c r="A34" s="9"/>
      <c r="B34" s="9"/>
      <c r="C34" s="9"/>
      <c r="D34" s="9"/>
      <c r="E34" s="9"/>
      <c r="F34" s="9"/>
      <c r="G34" s="9"/>
      <c r="H34" s="9"/>
      <c r="I34" s="9"/>
      <c r="J34" s="9"/>
      <c r="K34" s="9"/>
      <c r="L34" s="9"/>
      <c r="M34" s="9"/>
      <c r="N34" s="9"/>
    </row>
    <row r="35" spans="1:14" ht="12.75">
      <c r="A35" s="9"/>
      <c r="B35" s="9"/>
      <c r="C35" s="9"/>
      <c r="D35" s="9"/>
      <c r="E35" s="9"/>
      <c r="F35" s="9"/>
      <c r="G35" s="9"/>
      <c r="H35" s="9"/>
      <c r="I35" s="9"/>
      <c r="J35" s="9"/>
      <c r="K35" s="9"/>
      <c r="L35" s="9"/>
      <c r="M35" s="9"/>
      <c r="N35" s="9"/>
    </row>
    <row r="36" spans="1:14" ht="12.75">
      <c r="A36" s="9"/>
      <c r="B36" s="9"/>
      <c r="C36" s="9"/>
      <c r="D36" s="9"/>
      <c r="E36" s="9"/>
      <c r="F36" s="9"/>
      <c r="G36" s="9"/>
      <c r="H36" s="9"/>
      <c r="I36" s="9"/>
      <c r="J36" s="9"/>
      <c r="K36" s="9"/>
      <c r="L36" s="9"/>
      <c r="M36" s="9"/>
      <c r="N36" s="9"/>
    </row>
    <row r="37" spans="1:14" ht="12.75">
      <c r="A37" s="9"/>
      <c r="B37" s="9"/>
      <c r="C37" s="9"/>
      <c r="D37" s="9"/>
      <c r="E37" s="9"/>
      <c r="F37" s="9"/>
      <c r="G37" s="9"/>
      <c r="H37" s="9"/>
      <c r="I37" s="9"/>
      <c r="J37" s="9"/>
      <c r="K37" s="9"/>
      <c r="L37" s="9"/>
      <c r="M37" s="9"/>
      <c r="N37" s="9"/>
    </row>
    <row r="38" spans="1:14" ht="12.75">
      <c r="A38" s="9"/>
      <c r="B38" s="9"/>
      <c r="C38" s="9"/>
      <c r="D38" s="9"/>
      <c r="E38" s="9"/>
      <c r="F38" s="9"/>
      <c r="G38" s="9"/>
      <c r="H38" s="9"/>
      <c r="I38" s="9"/>
      <c r="J38" s="9"/>
      <c r="K38" s="9"/>
      <c r="L38" s="9"/>
      <c r="M38" s="9"/>
      <c r="N38" s="9"/>
    </row>
    <row r="39" spans="1:14" ht="12.75">
      <c r="A39" s="9"/>
      <c r="B39" s="9"/>
      <c r="C39" s="9"/>
      <c r="D39" s="9"/>
      <c r="E39" s="9"/>
      <c r="F39" s="9"/>
      <c r="G39" s="9"/>
      <c r="H39" s="9"/>
      <c r="I39" s="9"/>
      <c r="J39" s="9"/>
      <c r="K39" s="9"/>
      <c r="L39" s="9"/>
      <c r="M39" s="9"/>
      <c r="N39" s="9"/>
    </row>
    <row r="40" spans="1:14" ht="12.75">
      <c r="A40" s="9"/>
      <c r="B40" s="9"/>
      <c r="C40" s="9"/>
      <c r="D40" s="9"/>
      <c r="E40" s="9"/>
      <c r="F40" s="9"/>
      <c r="G40" s="9"/>
      <c r="H40" s="9"/>
      <c r="I40" s="9"/>
      <c r="J40" s="9"/>
      <c r="K40" s="9"/>
      <c r="L40" s="9"/>
      <c r="M40" s="9"/>
      <c r="N40" s="9"/>
    </row>
    <row r="41" spans="1:14" ht="12.75">
      <c r="A41" s="9"/>
      <c r="B41" s="9"/>
      <c r="C41" s="9"/>
      <c r="D41" s="9"/>
      <c r="E41" s="9"/>
      <c r="F41" s="9"/>
      <c r="G41" s="9"/>
      <c r="H41" s="9"/>
      <c r="I41" s="9"/>
      <c r="J41" s="9"/>
      <c r="K41" s="9"/>
      <c r="L41" s="9"/>
      <c r="M41" s="9"/>
      <c r="N41" s="9"/>
    </row>
    <row r="42" spans="1:14" ht="12.75">
      <c r="A42" s="9"/>
      <c r="B42" s="9"/>
      <c r="C42" s="9"/>
      <c r="D42" s="9"/>
      <c r="E42" s="9"/>
      <c r="F42" s="9"/>
      <c r="G42" s="9"/>
      <c r="H42" s="9"/>
      <c r="I42" s="9"/>
      <c r="J42" s="9"/>
      <c r="K42" s="9"/>
      <c r="L42" s="9"/>
      <c r="M42" s="9"/>
      <c r="N42" s="9"/>
    </row>
    <row r="43" spans="1:14" ht="12.75">
      <c r="A43" s="9"/>
      <c r="B43" s="9"/>
      <c r="C43" s="9"/>
      <c r="D43" s="9"/>
      <c r="E43" s="9"/>
      <c r="F43" s="9"/>
      <c r="G43" s="9"/>
      <c r="H43" s="9"/>
      <c r="I43" s="9"/>
      <c r="J43" s="9"/>
      <c r="K43" s="9"/>
      <c r="L43" s="9"/>
      <c r="M43" s="9"/>
      <c r="N43" s="9"/>
    </row>
    <row r="44" spans="1:14" ht="12.75">
      <c r="A44" s="9"/>
      <c r="B44" s="9"/>
      <c r="C44" s="9"/>
      <c r="D44" s="9"/>
      <c r="E44" s="9"/>
      <c r="F44" s="9"/>
      <c r="G44" s="9"/>
      <c r="H44" s="9"/>
      <c r="I44" s="9"/>
      <c r="J44" s="9"/>
      <c r="K44" s="9"/>
      <c r="L44" s="9"/>
      <c r="M44" s="9"/>
      <c r="N44" s="9"/>
    </row>
    <row r="45" spans="1:14" ht="12.75">
      <c r="A45" s="9"/>
      <c r="B45" s="9"/>
      <c r="C45" s="9"/>
      <c r="D45" s="9"/>
      <c r="E45" s="9"/>
      <c r="F45" s="9"/>
      <c r="G45" s="9"/>
      <c r="H45" s="9"/>
      <c r="I45" s="9"/>
      <c r="J45" s="9"/>
      <c r="K45" s="9"/>
      <c r="L45" s="9"/>
      <c r="M45" s="9"/>
      <c r="N45" s="9"/>
    </row>
    <row r="46" spans="1:14" ht="12.75">
      <c r="A46" s="9"/>
      <c r="B46" s="9"/>
      <c r="C46" s="9"/>
      <c r="D46" s="9"/>
      <c r="E46" s="9"/>
      <c r="F46" s="9"/>
      <c r="G46" s="9"/>
      <c r="H46" s="9"/>
      <c r="I46" s="9"/>
      <c r="J46" s="9"/>
      <c r="K46" s="9"/>
      <c r="L46" s="9"/>
      <c r="M46" s="9"/>
      <c r="N46" s="9"/>
    </row>
    <row r="47" spans="1:14" ht="12.75">
      <c r="A47" s="9"/>
      <c r="B47" s="9"/>
      <c r="C47" s="9"/>
      <c r="D47" s="9"/>
      <c r="E47" s="9"/>
      <c r="F47" s="9"/>
      <c r="G47" s="9"/>
      <c r="H47" s="9"/>
      <c r="I47" s="9"/>
      <c r="J47" s="9"/>
      <c r="K47" s="9"/>
      <c r="L47" s="9"/>
      <c r="M47" s="9"/>
      <c r="N47" s="9"/>
    </row>
    <row r="48" spans="1:14" ht="12.75">
      <c r="A48" s="9"/>
      <c r="B48" s="9"/>
      <c r="C48" s="9"/>
      <c r="D48" s="9"/>
      <c r="E48" s="9"/>
      <c r="F48" s="9"/>
      <c r="G48" s="9"/>
      <c r="H48" s="9"/>
      <c r="I48" s="9"/>
      <c r="J48" s="9"/>
      <c r="K48" s="9"/>
      <c r="L48" s="9"/>
      <c r="M48" s="9"/>
      <c r="N48" s="9"/>
    </row>
    <row r="49" spans="1:14" ht="12.75">
      <c r="A49" s="9"/>
      <c r="B49" s="9"/>
      <c r="C49" s="9"/>
      <c r="D49" s="9"/>
      <c r="E49" s="9"/>
      <c r="F49" s="9"/>
      <c r="G49" s="9"/>
      <c r="H49" s="9"/>
      <c r="I49" s="9"/>
      <c r="J49" s="9"/>
      <c r="K49" s="9"/>
      <c r="L49" s="9"/>
      <c r="M49" s="9"/>
      <c r="N49" s="9"/>
    </row>
    <row r="50" spans="1:14" ht="12.75">
      <c r="A50" s="9"/>
      <c r="B50" s="9"/>
      <c r="C50" s="9"/>
      <c r="D50" s="9"/>
      <c r="E50" s="9"/>
      <c r="F50" s="9"/>
      <c r="G50" s="9"/>
      <c r="H50" s="9"/>
      <c r="I50" s="9"/>
      <c r="J50" s="9"/>
      <c r="K50" s="9"/>
      <c r="L50" s="9"/>
      <c r="M50" s="9"/>
      <c r="N50" s="9"/>
    </row>
    <row r="51" spans="1:14" ht="12.75">
      <c r="A51" s="9"/>
      <c r="B51" s="9"/>
      <c r="C51" s="9"/>
      <c r="D51" s="9"/>
      <c r="E51" s="9"/>
      <c r="F51" s="9"/>
      <c r="G51" s="9"/>
      <c r="H51" s="9"/>
      <c r="I51" s="9"/>
      <c r="J51" s="9"/>
      <c r="K51" s="9"/>
      <c r="L51" s="9"/>
      <c r="M51" s="9"/>
      <c r="N51" s="9"/>
    </row>
    <row r="52" spans="1:14" ht="12.75">
      <c r="A52" s="9"/>
      <c r="B52" s="9"/>
      <c r="C52" s="9"/>
      <c r="D52" s="9"/>
      <c r="E52" s="9"/>
      <c r="F52" s="9"/>
      <c r="G52" s="9"/>
      <c r="H52" s="9"/>
      <c r="I52" s="9"/>
      <c r="J52" s="9"/>
      <c r="K52" s="9"/>
      <c r="L52" s="9"/>
      <c r="M52" s="9"/>
      <c r="N52" s="9"/>
    </row>
    <row r="53" spans="1:14" ht="12.75">
      <c r="A53" s="9"/>
      <c r="B53" s="9"/>
      <c r="C53" s="9"/>
      <c r="D53" s="9"/>
      <c r="E53" s="9"/>
      <c r="F53" s="9"/>
      <c r="G53" s="9"/>
      <c r="H53" s="9"/>
      <c r="I53" s="9"/>
      <c r="J53" s="9"/>
      <c r="K53" s="9"/>
      <c r="L53" s="9"/>
      <c r="M53" s="9"/>
      <c r="N53" s="9"/>
    </row>
    <row r="54" spans="1:14" ht="12.75">
      <c r="A54" s="9"/>
      <c r="B54" s="9"/>
      <c r="C54" s="9"/>
      <c r="D54" s="9"/>
      <c r="E54" s="9"/>
      <c r="F54" s="9"/>
      <c r="G54" s="9"/>
      <c r="H54" s="9"/>
      <c r="I54" s="9"/>
      <c r="J54" s="9"/>
      <c r="K54" s="9"/>
      <c r="L54" s="9"/>
      <c r="M54" s="9"/>
      <c r="N54" s="9"/>
    </row>
    <row r="55" spans="1:14" ht="12.75">
      <c r="A55" s="9"/>
      <c r="B55" s="9"/>
      <c r="C55" s="9"/>
      <c r="D55" s="9"/>
      <c r="E55" s="9"/>
      <c r="F55" s="9"/>
      <c r="G55" s="9"/>
      <c r="H55" s="9"/>
      <c r="I55" s="9"/>
      <c r="J55" s="9"/>
      <c r="K55" s="9"/>
      <c r="L55" s="9"/>
      <c r="M55" s="9"/>
      <c r="N55" s="9"/>
    </row>
    <row r="56" spans="1:14" ht="12.75">
      <c r="A56" s="9"/>
      <c r="B56" s="9"/>
      <c r="C56" s="9"/>
      <c r="D56" s="9"/>
      <c r="E56" s="9"/>
      <c r="F56" s="9"/>
      <c r="G56" s="9"/>
      <c r="H56" s="9"/>
      <c r="I56" s="9"/>
      <c r="J56" s="9"/>
      <c r="K56" s="9"/>
      <c r="L56" s="9"/>
      <c r="M56" s="9"/>
      <c r="N56" s="9"/>
    </row>
    <row r="57" spans="1:14" ht="12.75">
      <c r="A57" s="9"/>
      <c r="B57" s="9"/>
      <c r="C57" s="9"/>
      <c r="D57" s="9"/>
      <c r="E57" s="9"/>
      <c r="F57" s="9"/>
      <c r="G57" s="9"/>
      <c r="H57" s="9"/>
      <c r="I57" s="9"/>
      <c r="J57" s="9"/>
      <c r="K57" s="9"/>
      <c r="L57" s="9"/>
      <c r="M57" s="9"/>
      <c r="N57" s="9"/>
    </row>
    <row r="58" spans="1:14" ht="12.75">
      <c r="A58" s="9"/>
      <c r="B58" s="9"/>
      <c r="C58" s="9"/>
      <c r="D58" s="9"/>
      <c r="E58" s="9"/>
      <c r="F58" s="9"/>
      <c r="G58" s="9"/>
      <c r="H58" s="9"/>
      <c r="I58" s="9"/>
      <c r="J58" s="9"/>
      <c r="K58" s="9"/>
      <c r="L58" s="9"/>
      <c r="M58" s="9"/>
      <c r="N58" s="9"/>
    </row>
    <row r="59" spans="1:14" ht="12.75">
      <c r="A59" s="9"/>
      <c r="B59" s="9"/>
      <c r="C59" s="9"/>
      <c r="D59" s="9"/>
      <c r="E59" s="9"/>
      <c r="F59" s="9"/>
      <c r="G59" s="9"/>
      <c r="H59" s="9"/>
      <c r="I59" s="9"/>
      <c r="J59" s="9"/>
      <c r="K59" s="9"/>
      <c r="L59" s="9"/>
      <c r="M59" s="9"/>
      <c r="N59" s="9"/>
    </row>
    <row r="60" spans="1:14" ht="12.75">
      <c r="A60" s="9"/>
      <c r="B60" s="9"/>
      <c r="C60" s="9"/>
      <c r="D60" s="9"/>
      <c r="E60" s="9"/>
      <c r="F60" s="9"/>
      <c r="G60" s="9"/>
      <c r="H60" s="9"/>
      <c r="I60" s="9"/>
      <c r="J60" s="9"/>
      <c r="K60" s="9"/>
      <c r="L60" s="9"/>
      <c r="M60" s="9"/>
      <c r="N60" s="9"/>
    </row>
    <row r="61" spans="1:14" ht="12.75">
      <c r="A61" s="9"/>
      <c r="B61" s="9"/>
      <c r="C61" s="9"/>
      <c r="D61" s="9"/>
      <c r="E61" s="9"/>
      <c r="F61" s="9"/>
      <c r="G61" s="9"/>
      <c r="H61" s="9"/>
      <c r="I61" s="9"/>
      <c r="J61" s="9"/>
      <c r="K61" s="9"/>
      <c r="L61" s="9"/>
      <c r="M61" s="9"/>
      <c r="N61" s="9"/>
    </row>
    <row r="62" spans="1:14" ht="12.75">
      <c r="A62" s="9"/>
      <c r="B62" s="9"/>
      <c r="C62" s="9"/>
      <c r="D62" s="9"/>
      <c r="E62" s="9"/>
      <c r="F62" s="9"/>
      <c r="G62" s="9"/>
      <c r="H62" s="9"/>
      <c r="I62" s="9"/>
      <c r="J62" s="9"/>
      <c r="K62" s="9"/>
      <c r="L62" s="9"/>
      <c r="M62" s="9"/>
      <c r="N62" s="9"/>
    </row>
    <row r="63" spans="1:14" ht="12.75">
      <c r="A63" s="9"/>
      <c r="B63" s="9"/>
      <c r="C63" s="9"/>
      <c r="D63" s="9"/>
      <c r="E63" s="9"/>
      <c r="F63" s="9"/>
      <c r="G63" s="9"/>
      <c r="H63" s="9"/>
      <c r="I63" s="9"/>
      <c r="J63" s="9"/>
      <c r="K63" s="9"/>
      <c r="L63" s="9"/>
      <c r="M63" s="9"/>
      <c r="N63" s="9"/>
    </row>
    <row r="64" spans="1:14" ht="12.75">
      <c r="A64" s="9"/>
      <c r="B64" s="9"/>
      <c r="C64" s="9"/>
      <c r="D64" s="9"/>
      <c r="E64" s="9"/>
      <c r="F64" s="9"/>
      <c r="G64" s="9"/>
      <c r="H64" s="9"/>
      <c r="I64" s="9"/>
      <c r="J64" s="9"/>
      <c r="K64" s="9"/>
      <c r="L64" s="9"/>
      <c r="M64" s="9"/>
      <c r="N64" s="9"/>
    </row>
    <row r="65" spans="1:14" ht="12.75">
      <c r="A65" s="9"/>
      <c r="B65" s="9"/>
      <c r="C65" s="9"/>
      <c r="D65" s="9"/>
      <c r="E65" s="9"/>
      <c r="F65" s="9"/>
      <c r="G65" s="9"/>
      <c r="H65" s="9"/>
      <c r="I65" s="9"/>
      <c r="J65" s="9"/>
      <c r="K65" s="9"/>
      <c r="L65" s="9"/>
      <c r="M65" s="9"/>
      <c r="N65" s="9"/>
    </row>
    <row r="66" spans="1:14" ht="12.75">
      <c r="A66" s="9"/>
      <c r="B66" s="9"/>
      <c r="C66" s="9"/>
      <c r="D66" s="9"/>
      <c r="E66" s="9"/>
      <c r="F66" s="9"/>
      <c r="G66" s="9"/>
      <c r="H66" s="9"/>
      <c r="I66" s="9"/>
      <c r="J66" s="9"/>
      <c r="K66" s="9"/>
      <c r="L66" s="9"/>
      <c r="M66" s="9"/>
      <c r="N66" s="9"/>
    </row>
    <row r="67" spans="1:14" ht="12.75">
      <c r="A67" s="9"/>
      <c r="B67" s="9"/>
      <c r="C67" s="9"/>
      <c r="D67" s="9"/>
      <c r="E67" s="9"/>
      <c r="F67" s="9"/>
      <c r="G67" s="9"/>
      <c r="H67" s="9"/>
      <c r="I67" s="9"/>
      <c r="J67" s="9"/>
      <c r="K67" s="9"/>
      <c r="L67" s="9"/>
      <c r="M67" s="9"/>
      <c r="N67" s="9"/>
    </row>
    <row r="68" spans="1:14" ht="12.75">
      <c r="A68" s="9"/>
      <c r="B68" s="9"/>
      <c r="C68" s="9"/>
      <c r="D68" s="9"/>
      <c r="E68" s="9"/>
      <c r="F68" s="9"/>
      <c r="G68" s="9"/>
      <c r="H68" s="9"/>
      <c r="I68" s="9"/>
      <c r="J68" s="9"/>
      <c r="K68" s="9"/>
      <c r="L68" s="9"/>
      <c r="M68" s="9"/>
      <c r="N68" s="9"/>
    </row>
    <row r="69" spans="1:14" ht="12.75">
      <c r="A69" s="9"/>
      <c r="B69" s="9"/>
      <c r="C69" s="9"/>
      <c r="D69" s="9"/>
      <c r="E69" s="9"/>
      <c r="F69" s="9"/>
      <c r="G69" s="9"/>
      <c r="H69" s="9"/>
      <c r="I69" s="9"/>
      <c r="J69" s="9"/>
      <c r="K69" s="9"/>
      <c r="L69" s="9"/>
      <c r="M69" s="9"/>
      <c r="N69" s="9"/>
    </row>
    <row r="70" spans="1:14" ht="12.75">
      <c r="A70" s="9"/>
      <c r="B70" s="9"/>
      <c r="C70" s="9"/>
      <c r="D70" s="9"/>
      <c r="E70" s="9"/>
      <c r="F70" s="9"/>
      <c r="G70" s="9"/>
      <c r="H70" s="9"/>
      <c r="I70" s="9"/>
      <c r="J70" s="9"/>
      <c r="K70" s="9"/>
      <c r="L70" s="9"/>
      <c r="M70" s="9"/>
      <c r="N70" s="9"/>
    </row>
    <row r="71" spans="1:14" ht="12.75">
      <c r="A71" s="9"/>
      <c r="B71" s="9"/>
      <c r="C71" s="9"/>
      <c r="D71" s="9"/>
      <c r="E71" s="9"/>
      <c r="F71" s="9"/>
      <c r="G71" s="9"/>
      <c r="H71" s="9"/>
      <c r="I71" s="9"/>
      <c r="J71" s="9"/>
      <c r="K71" s="9"/>
      <c r="L71" s="9"/>
      <c r="M71" s="9"/>
      <c r="N71" s="9"/>
    </row>
    <row r="72" spans="1:14" ht="12.75">
      <c r="A72" s="9"/>
      <c r="B72" s="9"/>
      <c r="C72" s="9"/>
      <c r="D72" s="9"/>
      <c r="E72" s="9"/>
      <c r="F72" s="9"/>
      <c r="G72" s="9"/>
      <c r="H72" s="9"/>
      <c r="I72" s="9"/>
      <c r="J72" s="9"/>
      <c r="K72" s="9"/>
      <c r="L72" s="9"/>
      <c r="M72" s="9"/>
      <c r="N72" s="9"/>
    </row>
    <row r="73" spans="1:14" ht="12.75">
      <c r="A73" s="9"/>
      <c r="B73" s="9"/>
      <c r="C73" s="9"/>
      <c r="D73" s="9"/>
      <c r="E73" s="9"/>
      <c r="F73" s="9"/>
      <c r="G73" s="9"/>
      <c r="H73" s="9"/>
      <c r="I73" s="9"/>
      <c r="J73" s="9"/>
      <c r="K73" s="9"/>
      <c r="L73" s="9"/>
      <c r="M73" s="9"/>
      <c r="N73" s="9"/>
    </row>
    <row r="74" spans="1:14" ht="12.75">
      <c r="A74" s="9"/>
      <c r="B74" s="9"/>
      <c r="C74" s="9"/>
      <c r="D74" s="9"/>
      <c r="E74" s="9"/>
      <c r="F74" s="9"/>
      <c r="G74" s="9"/>
      <c r="H74" s="9"/>
      <c r="I74" s="9"/>
      <c r="J74" s="9"/>
      <c r="K74" s="9"/>
      <c r="L74" s="9"/>
      <c r="M74" s="9"/>
      <c r="N74" s="9"/>
    </row>
    <row r="75" spans="1:14" ht="12.75">
      <c r="A75" s="9"/>
      <c r="B75" s="9"/>
      <c r="C75" s="9"/>
      <c r="D75" s="9"/>
      <c r="E75" s="9"/>
      <c r="F75" s="9"/>
      <c r="G75" s="9"/>
      <c r="H75" s="9"/>
      <c r="I75" s="9"/>
      <c r="J75" s="9"/>
      <c r="K75" s="9"/>
      <c r="L75" s="9"/>
      <c r="M75" s="9"/>
      <c r="N75" s="9"/>
    </row>
    <row r="76" spans="1:14" ht="12.75">
      <c r="A76" s="9"/>
      <c r="B76" s="9"/>
      <c r="C76" s="9"/>
      <c r="D76" s="9"/>
      <c r="E76" s="9"/>
      <c r="F76" s="9"/>
      <c r="G76" s="9"/>
      <c r="H76" s="9"/>
      <c r="I76" s="9"/>
      <c r="J76" s="9"/>
      <c r="K76" s="9"/>
      <c r="L76" s="9"/>
      <c r="M76" s="9"/>
      <c r="N76" s="9"/>
    </row>
    <row r="77" spans="1:14" ht="12.75">
      <c r="A77" s="9"/>
      <c r="B77" s="9"/>
      <c r="C77" s="9"/>
      <c r="D77" s="9"/>
      <c r="E77" s="9"/>
      <c r="F77" s="9"/>
      <c r="G77" s="9"/>
      <c r="H77" s="9"/>
      <c r="I77" s="9"/>
      <c r="J77" s="9"/>
      <c r="K77" s="9"/>
      <c r="L77" s="9"/>
      <c r="M77" s="9"/>
      <c r="N77" s="9"/>
    </row>
    <row r="78" spans="1:14" ht="12.75">
      <c r="A78" s="9"/>
      <c r="B78" s="9"/>
      <c r="C78" s="9"/>
      <c r="D78" s="9"/>
      <c r="E78" s="9"/>
      <c r="F78" s="9"/>
      <c r="G78" s="9"/>
      <c r="H78" s="9"/>
      <c r="I78" s="9"/>
      <c r="J78" s="9"/>
      <c r="K78" s="9"/>
      <c r="L78" s="9"/>
      <c r="M78" s="9"/>
      <c r="N78" s="9"/>
    </row>
    <row r="79" spans="1:14" ht="12.75">
      <c r="A79" s="9"/>
      <c r="B79" s="9"/>
      <c r="C79" s="9"/>
      <c r="D79" s="9"/>
      <c r="E79" s="9"/>
      <c r="F79" s="9"/>
      <c r="G79" s="9"/>
      <c r="H79" s="9"/>
      <c r="I79" s="9"/>
      <c r="J79" s="9"/>
      <c r="K79" s="9"/>
      <c r="L79" s="9"/>
      <c r="M79" s="9"/>
      <c r="N79" s="9"/>
    </row>
    <row r="80" spans="1:14" ht="12.75">
      <c r="A80" s="9"/>
      <c r="B80" s="9"/>
      <c r="C80" s="9"/>
      <c r="D80" s="9"/>
      <c r="E80" s="9"/>
      <c r="F80" s="9"/>
      <c r="G80" s="9"/>
      <c r="H80" s="9"/>
      <c r="I80" s="9"/>
      <c r="J80" s="9"/>
      <c r="K80" s="9"/>
      <c r="L80" s="9"/>
      <c r="M80" s="9"/>
      <c r="N80" s="9"/>
    </row>
    <row r="81" spans="1:14" ht="12.75">
      <c r="A81" s="9"/>
      <c r="B81" s="9"/>
      <c r="C81" s="9"/>
      <c r="D81" s="9"/>
      <c r="E81" s="9"/>
      <c r="F81" s="9"/>
      <c r="G81" s="9"/>
      <c r="H81" s="9"/>
      <c r="I81" s="9"/>
      <c r="J81" s="9"/>
      <c r="K81" s="9"/>
      <c r="L81" s="9"/>
      <c r="M81" s="9"/>
      <c r="N81" s="9"/>
    </row>
    <row r="82" spans="1:14" ht="12.75">
      <c r="A82" s="9"/>
      <c r="B82" s="9"/>
      <c r="C82" s="9"/>
      <c r="D82" s="9"/>
      <c r="E82" s="9"/>
      <c r="F82" s="9"/>
      <c r="G82" s="9"/>
      <c r="H82" s="9"/>
      <c r="I82" s="9"/>
      <c r="J82" s="9"/>
      <c r="K82" s="9"/>
      <c r="L82" s="9"/>
      <c r="M82" s="9"/>
      <c r="N82" s="9"/>
    </row>
    <row r="83" spans="1:14" ht="12.75">
      <c r="A83" s="9"/>
      <c r="B83" s="9"/>
      <c r="C83" s="9"/>
      <c r="D83" s="9"/>
      <c r="E83" s="9"/>
      <c r="F83" s="9"/>
      <c r="G83" s="9"/>
      <c r="H83" s="9"/>
      <c r="I83" s="9"/>
      <c r="J83" s="9"/>
      <c r="K83" s="9"/>
      <c r="L83" s="9"/>
      <c r="M83" s="9"/>
      <c r="N83" s="9"/>
    </row>
    <row r="84" spans="1:14" ht="12.75">
      <c r="A84" s="9"/>
      <c r="B84" s="9"/>
      <c r="C84" s="9"/>
      <c r="D84" s="9"/>
      <c r="E84" s="9"/>
      <c r="F84" s="9"/>
      <c r="G84" s="9"/>
      <c r="H84" s="9"/>
      <c r="I84" s="9"/>
      <c r="J84" s="9"/>
      <c r="K84" s="9"/>
      <c r="L84" s="9"/>
      <c r="M84" s="9"/>
      <c r="N84" s="9"/>
    </row>
    <row r="85" spans="1:14" ht="12.75">
      <c r="A85" s="9"/>
      <c r="B85" s="9"/>
      <c r="C85" s="9"/>
      <c r="D85" s="9"/>
      <c r="E85" s="9"/>
      <c r="F85" s="9"/>
      <c r="G85" s="9"/>
      <c r="H85" s="9"/>
      <c r="I85" s="9"/>
      <c r="J85" s="9"/>
      <c r="K85" s="9"/>
      <c r="L85" s="9"/>
      <c r="M85" s="9"/>
      <c r="N85" s="9"/>
    </row>
    <row r="86" spans="1:14" ht="12.75">
      <c r="A86" s="9"/>
      <c r="B86" s="9"/>
      <c r="C86" s="9"/>
      <c r="D86" s="9"/>
      <c r="E86" s="9"/>
      <c r="F86" s="9"/>
      <c r="G86" s="9"/>
      <c r="H86" s="9"/>
      <c r="I86" s="9"/>
      <c r="J86" s="9"/>
      <c r="K86" s="9"/>
      <c r="L86" s="9"/>
      <c r="M86" s="9"/>
      <c r="N86" s="9"/>
    </row>
    <row r="87" spans="1:14" ht="12.75">
      <c r="A87" s="9"/>
      <c r="B87" s="9"/>
      <c r="C87" s="9"/>
      <c r="D87" s="9"/>
      <c r="E87" s="9"/>
      <c r="F87" s="9"/>
      <c r="G87" s="9"/>
      <c r="H87" s="9"/>
      <c r="I87" s="9"/>
      <c r="J87" s="9"/>
      <c r="K87" s="9"/>
      <c r="L87" s="9"/>
      <c r="M87" s="9"/>
      <c r="N87" s="9"/>
    </row>
    <row r="88" spans="1:14" ht="12.75">
      <c r="A88" s="9"/>
      <c r="B88" s="9"/>
      <c r="C88" s="9"/>
      <c r="D88" s="9"/>
      <c r="E88" s="9"/>
      <c r="F88" s="9"/>
      <c r="G88" s="9"/>
      <c r="H88" s="9"/>
      <c r="I88" s="9"/>
      <c r="J88" s="9"/>
      <c r="K88" s="9"/>
      <c r="L88" s="9"/>
      <c r="M88" s="9"/>
      <c r="N88" s="9"/>
    </row>
  </sheetData>
  <sheetProtection password="83AF" sheet="1" objects="1" scenario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52"/>
  <sheetViews>
    <sheetView workbookViewId="0" topLeftCell="A1">
      <selection activeCell="B14" sqref="B14"/>
    </sheetView>
  </sheetViews>
  <sheetFormatPr defaultColWidth="9.140625" defaultRowHeight="12.75"/>
  <cols>
    <col min="1" max="1" width="46.28125" style="0" customWidth="1"/>
    <col min="2" max="2" width="14.8515625" style="0" customWidth="1"/>
    <col min="3" max="3" width="12.8515625" style="0" customWidth="1"/>
    <col min="4" max="5" width="10.00390625" style="0" customWidth="1"/>
  </cols>
  <sheetData>
    <row r="1" spans="1:5" ht="15.75">
      <c r="A1" s="172" t="s">
        <v>104</v>
      </c>
      <c r="B1" s="44"/>
      <c r="C1" s="104"/>
      <c r="D1" s="99"/>
      <c r="E1" s="125"/>
    </row>
    <row r="2" spans="1:5" ht="12.75">
      <c r="A2" s="65"/>
      <c r="B2" s="47"/>
      <c r="C2" s="126"/>
      <c r="D2" s="104"/>
      <c r="E2" s="47"/>
    </row>
    <row r="3" spans="1:5" ht="15.75">
      <c r="A3" s="386" t="s">
        <v>105</v>
      </c>
      <c r="B3" s="47"/>
      <c r="C3" s="104"/>
      <c r="D3" s="104"/>
      <c r="E3" s="47"/>
    </row>
    <row r="4" spans="1:5" ht="16.5" thickBot="1">
      <c r="A4" s="66"/>
      <c r="B4" s="127" t="s">
        <v>106</v>
      </c>
      <c r="C4" s="128"/>
      <c r="D4" s="129"/>
      <c r="E4" s="47"/>
    </row>
    <row r="5" spans="1:5" ht="64.5" thickBot="1">
      <c r="A5" s="103"/>
      <c r="B5" s="495" t="s">
        <v>107</v>
      </c>
      <c r="C5" s="495" t="s">
        <v>108</v>
      </c>
      <c r="D5" s="495" t="s">
        <v>109</v>
      </c>
      <c r="E5" s="496" t="s">
        <v>110</v>
      </c>
    </row>
    <row r="6" spans="1:5" ht="12.75">
      <c r="A6" s="141" t="s">
        <v>111</v>
      </c>
      <c r="B6" s="424"/>
      <c r="C6" s="424"/>
      <c r="D6" s="142"/>
      <c r="E6" s="439"/>
    </row>
    <row r="7" spans="1:5" ht="12.75">
      <c r="A7" s="63" t="s">
        <v>112</v>
      </c>
      <c r="B7" s="425"/>
      <c r="C7" s="438">
        <v>0</v>
      </c>
      <c r="D7" s="161">
        <v>0.02</v>
      </c>
      <c r="E7" s="440">
        <f>(B7+C7)*D7</f>
        <v>0</v>
      </c>
    </row>
    <row r="8" spans="1:5" ht="12.75">
      <c r="A8" s="63" t="s">
        <v>113</v>
      </c>
      <c r="B8" s="479"/>
      <c r="C8" s="479">
        <v>0</v>
      </c>
      <c r="D8" s="480">
        <v>0.05</v>
      </c>
      <c r="E8" s="481">
        <f>(B8+C8)*D8</f>
        <v>0</v>
      </c>
    </row>
    <row r="9" spans="1:5" ht="12.75">
      <c r="A9" s="143" t="s">
        <v>114</v>
      </c>
      <c r="B9" s="427">
        <v>0</v>
      </c>
      <c r="C9" s="427">
        <v>0</v>
      </c>
      <c r="D9" s="162">
        <v>0.1</v>
      </c>
      <c r="E9" s="441">
        <f>(B9+C9)*D9</f>
        <v>0</v>
      </c>
    </row>
    <row r="10" spans="1:5" ht="12.75">
      <c r="A10" s="137" t="s">
        <v>115</v>
      </c>
      <c r="B10" s="428"/>
      <c r="C10" s="428"/>
      <c r="D10" s="163"/>
      <c r="E10" s="440"/>
    </row>
    <row r="11" spans="1:5" ht="12.75">
      <c r="A11" s="143" t="s">
        <v>116</v>
      </c>
      <c r="B11" s="429">
        <v>0</v>
      </c>
      <c r="C11" s="429">
        <v>0</v>
      </c>
      <c r="D11" s="156">
        <v>0.02</v>
      </c>
      <c r="E11" s="442">
        <f>(B11+C11)*D11</f>
        <v>0</v>
      </c>
    </row>
    <row r="12" spans="1:5" ht="12.75">
      <c r="A12" s="131" t="s">
        <v>117</v>
      </c>
      <c r="B12" s="430"/>
      <c r="C12" s="430"/>
      <c r="D12" s="164"/>
      <c r="E12" s="443"/>
    </row>
    <row r="13" spans="1:5" ht="12.75">
      <c r="A13" s="63" t="s">
        <v>118</v>
      </c>
      <c r="B13" s="425">
        <v>0</v>
      </c>
      <c r="C13" s="426">
        <v>0</v>
      </c>
      <c r="D13" s="165">
        <v>0.1</v>
      </c>
      <c r="E13" s="444">
        <f>(B13+C13)*D13</f>
        <v>0</v>
      </c>
    </row>
    <row r="14" spans="1:5" ht="12.75">
      <c r="A14" s="63" t="s">
        <v>119</v>
      </c>
      <c r="B14" s="479">
        <v>0</v>
      </c>
      <c r="C14" s="479">
        <v>0</v>
      </c>
      <c r="D14" s="482">
        <v>0.2</v>
      </c>
      <c r="E14" s="483">
        <f>(B14+C14)*D14</f>
        <v>0</v>
      </c>
    </row>
    <row r="15" spans="1:5" ht="13.5" thickBot="1">
      <c r="A15" s="139" t="s">
        <v>120</v>
      </c>
      <c r="B15" s="427">
        <v>0</v>
      </c>
      <c r="C15" s="426">
        <v>0</v>
      </c>
      <c r="D15" s="165">
        <v>0.3</v>
      </c>
      <c r="E15" s="445">
        <f>(B15+C15)*D15</f>
        <v>0</v>
      </c>
    </row>
    <row r="16" spans="1:5" ht="12.75">
      <c r="A16" s="137" t="s">
        <v>121</v>
      </c>
      <c r="B16" s="428"/>
      <c r="C16" s="428"/>
      <c r="D16" s="163"/>
      <c r="E16" s="440"/>
    </row>
    <row r="17" spans="1:5" ht="12.75">
      <c r="A17" s="63" t="s">
        <v>122</v>
      </c>
      <c r="B17" s="425">
        <v>0</v>
      </c>
      <c r="C17" s="425">
        <v>0</v>
      </c>
      <c r="D17" s="166">
        <v>0.05</v>
      </c>
      <c r="E17" s="440">
        <f>(B17+C17)*D17</f>
        <v>0</v>
      </c>
    </row>
    <row r="18" spans="1:5" ht="13.5" thickBot="1">
      <c r="A18" s="139" t="s">
        <v>123</v>
      </c>
      <c r="B18" s="484">
        <v>0</v>
      </c>
      <c r="C18" s="484">
        <v>0</v>
      </c>
      <c r="D18" s="485">
        <v>0.1</v>
      </c>
      <c r="E18" s="486">
        <f>(B18+C18)*D18</f>
        <v>0</v>
      </c>
    </row>
    <row r="19" spans="1:5" ht="13.5" thickBot="1">
      <c r="A19" s="47"/>
      <c r="B19" s="413"/>
      <c r="C19" s="47"/>
      <c r="D19" s="76" t="s">
        <v>124</v>
      </c>
      <c r="E19" s="447">
        <f>SUM(E7:E18)</f>
        <v>0</v>
      </c>
    </row>
    <row r="20" spans="1:5" ht="13.5" thickTop="1">
      <c r="A20" s="47"/>
      <c r="B20" s="413"/>
      <c r="C20" s="104"/>
      <c r="D20" s="104"/>
      <c r="E20" s="47"/>
    </row>
    <row r="21" spans="1:5" ht="16.5" thickBot="1">
      <c r="A21" s="386" t="s">
        <v>125</v>
      </c>
      <c r="B21" s="413"/>
      <c r="C21" s="104"/>
      <c r="D21" s="104"/>
      <c r="E21" s="47"/>
    </row>
    <row r="22" spans="1:5" ht="26.25" thickBot="1">
      <c r="A22" s="65"/>
      <c r="B22" s="431" t="s">
        <v>126</v>
      </c>
      <c r="C22" s="498"/>
      <c r="D22" s="157" t="s">
        <v>109</v>
      </c>
      <c r="E22" s="158" t="s">
        <v>110</v>
      </c>
    </row>
    <row r="23" spans="1:5" ht="12.75">
      <c r="A23" s="137" t="s">
        <v>127</v>
      </c>
      <c r="B23" s="428"/>
      <c r="C23" s="497"/>
      <c r="D23" s="160"/>
      <c r="E23" s="440"/>
    </row>
    <row r="24" spans="1:5" ht="12.75">
      <c r="A24" s="63" t="s">
        <v>128</v>
      </c>
      <c r="B24" s="479">
        <v>0</v>
      </c>
      <c r="C24" s="130"/>
      <c r="D24" s="156">
        <v>0.4</v>
      </c>
      <c r="E24" s="442">
        <f>B24*D24</f>
        <v>0</v>
      </c>
    </row>
    <row r="25" spans="1:5" ht="12.75">
      <c r="A25" s="143" t="s">
        <v>129</v>
      </c>
      <c r="B25" s="479">
        <v>0</v>
      </c>
      <c r="C25" s="130"/>
      <c r="D25" s="156">
        <v>0.3</v>
      </c>
      <c r="E25" s="448">
        <f>B25*D25</f>
        <v>0</v>
      </c>
    </row>
    <row r="26" spans="1:5" ht="23.25" customHeight="1">
      <c r="A26" s="138" t="s">
        <v>130</v>
      </c>
      <c r="B26" s="479">
        <v>0</v>
      </c>
      <c r="C26" s="130"/>
      <c r="D26" s="156">
        <v>0.35</v>
      </c>
      <c r="E26" s="442">
        <f>B26*D26</f>
        <v>0</v>
      </c>
    </row>
    <row r="27" spans="1:5" ht="13.5" thickBot="1">
      <c r="A27" s="139" t="s">
        <v>131</v>
      </c>
      <c r="B27" s="484">
        <v>0</v>
      </c>
      <c r="C27" s="140"/>
      <c r="D27" s="134">
        <v>1</v>
      </c>
      <c r="E27" s="446">
        <f>B27*D27</f>
        <v>0</v>
      </c>
    </row>
    <row r="28" spans="1:5" ht="13.5" thickBot="1">
      <c r="A28" s="65"/>
      <c r="B28" s="413"/>
      <c r="C28" s="104"/>
      <c r="D28" s="76" t="s">
        <v>132</v>
      </c>
      <c r="E28" s="449">
        <f>SUM(E24:E27)</f>
        <v>0</v>
      </c>
    </row>
    <row r="29" spans="1:5" ht="13.5" thickTop="1">
      <c r="A29" s="103"/>
      <c r="B29" s="413"/>
      <c r="C29" s="104"/>
      <c r="D29" s="104"/>
      <c r="E29" s="47"/>
    </row>
    <row r="30" spans="1:5" ht="16.5" thickBot="1">
      <c r="A30" s="386" t="s">
        <v>133</v>
      </c>
      <c r="B30" s="413"/>
      <c r="C30" s="132"/>
      <c r="D30" s="104"/>
      <c r="E30" s="47"/>
    </row>
    <row r="31" spans="1:5" ht="39" thickBot="1">
      <c r="A31" s="173"/>
      <c r="B31" s="432" t="s">
        <v>134</v>
      </c>
      <c r="C31" s="145"/>
      <c r="D31" s="146" t="s">
        <v>109</v>
      </c>
      <c r="E31" s="144" t="s">
        <v>110</v>
      </c>
    </row>
    <row r="32" spans="1:5" ht="12.75">
      <c r="A32" s="174" t="s">
        <v>135</v>
      </c>
      <c r="B32" s="433"/>
      <c r="C32" s="499"/>
      <c r="D32" s="149"/>
      <c r="E32" s="450"/>
    </row>
    <row r="33" spans="1:5" ht="12.75">
      <c r="A33" s="175" t="s">
        <v>136</v>
      </c>
      <c r="B33" s="433"/>
      <c r="C33" s="499"/>
      <c r="D33" s="150"/>
      <c r="E33" s="451"/>
    </row>
    <row r="34" spans="1:5" ht="40.5" customHeight="1" thickBot="1">
      <c r="A34" s="147" t="s">
        <v>137</v>
      </c>
      <c r="B34" s="500">
        <v>0</v>
      </c>
      <c r="C34" s="151"/>
      <c r="D34" s="134">
        <v>0.3</v>
      </c>
      <c r="E34" s="446">
        <f>B34*D34</f>
        <v>0</v>
      </c>
    </row>
    <row r="35" spans="1:5" ht="13.5" thickBot="1">
      <c r="A35" s="135"/>
      <c r="B35" s="435"/>
      <c r="D35" s="76" t="s">
        <v>138</v>
      </c>
      <c r="E35" s="449">
        <f>E34</f>
        <v>0</v>
      </c>
    </row>
    <row r="36" spans="1:5" ht="13.5" thickTop="1">
      <c r="A36" s="103"/>
      <c r="B36" s="413"/>
      <c r="C36" s="104"/>
      <c r="D36" s="104"/>
      <c r="E36" s="47"/>
    </row>
    <row r="37" spans="1:5" ht="15.75">
      <c r="A37" s="386" t="s">
        <v>139</v>
      </c>
      <c r="B37" s="436"/>
      <c r="C37" s="153"/>
      <c r="D37" s="153"/>
      <c r="E37" s="152"/>
    </row>
    <row r="38" spans="1:5" ht="16.5" thickBot="1">
      <c r="A38" s="386"/>
      <c r="B38" s="436"/>
      <c r="C38" s="153"/>
      <c r="D38" s="153"/>
      <c r="E38" s="152"/>
    </row>
    <row r="39" spans="1:5" ht="39" thickBot="1">
      <c r="A39" s="154"/>
      <c r="B39" s="437" t="s">
        <v>140</v>
      </c>
      <c r="C39" s="148"/>
      <c r="D39" s="146" t="s">
        <v>109</v>
      </c>
      <c r="E39" s="159" t="s">
        <v>110</v>
      </c>
    </row>
    <row r="40" spans="1:6" ht="51.75" customHeight="1">
      <c r="A40" s="138" t="s">
        <v>459</v>
      </c>
      <c r="B40" s="550">
        <v>0</v>
      </c>
      <c r="C40" s="169" t="s">
        <v>141</v>
      </c>
      <c r="D40" s="136">
        <v>2</v>
      </c>
      <c r="E40" s="452">
        <f>B40*D40</f>
        <v>0</v>
      </c>
      <c r="F40" t="s">
        <v>13</v>
      </c>
    </row>
    <row r="41" spans="1:6" ht="49.5" customHeight="1">
      <c r="A41" s="138" t="s">
        <v>460</v>
      </c>
      <c r="B41" s="550">
        <v>0</v>
      </c>
      <c r="C41" s="169" t="s">
        <v>141</v>
      </c>
      <c r="D41" s="136">
        <v>2</v>
      </c>
      <c r="E41" s="452">
        <f>B41*D41</f>
        <v>0</v>
      </c>
      <c r="F41" t="s">
        <v>13</v>
      </c>
    </row>
    <row r="42" spans="1:6" ht="54.75" customHeight="1">
      <c r="A42" s="753" t="s">
        <v>461</v>
      </c>
      <c r="B42" s="550">
        <v>0</v>
      </c>
      <c r="C42" s="169" t="s">
        <v>141</v>
      </c>
      <c r="D42" s="136">
        <v>2</v>
      </c>
      <c r="E42" s="452">
        <f>B42*D42</f>
        <v>0</v>
      </c>
      <c r="F42" t="s">
        <v>13</v>
      </c>
    </row>
    <row r="43" spans="1:5" ht="60" customHeight="1">
      <c r="A43" s="542" t="s">
        <v>142</v>
      </c>
      <c r="B43" s="549">
        <v>0</v>
      </c>
      <c r="C43" s="170" t="s">
        <v>143</v>
      </c>
      <c r="D43" s="155">
        <v>0.2</v>
      </c>
      <c r="E43" s="452">
        <f aca="true" t="shared" si="0" ref="E43:E48">B43*D43</f>
        <v>0</v>
      </c>
    </row>
    <row r="44" spans="1:5" ht="12.75">
      <c r="A44" s="176" t="s">
        <v>144</v>
      </c>
      <c r="B44" s="549">
        <v>0</v>
      </c>
      <c r="C44" s="170" t="s">
        <v>145</v>
      </c>
      <c r="D44" s="156">
        <v>0.25</v>
      </c>
      <c r="E44" s="443">
        <f t="shared" si="0"/>
        <v>0</v>
      </c>
    </row>
    <row r="45" spans="1:5" ht="12.75">
      <c r="A45" s="176" t="s">
        <v>146</v>
      </c>
      <c r="B45" s="549">
        <v>0</v>
      </c>
      <c r="C45" s="170" t="s">
        <v>145</v>
      </c>
      <c r="D45" s="156">
        <v>0.1</v>
      </c>
      <c r="E45" s="443">
        <f t="shared" si="0"/>
        <v>0</v>
      </c>
    </row>
    <row r="46" spans="1:5" ht="39.75" customHeight="1">
      <c r="A46" s="138" t="s">
        <v>147</v>
      </c>
      <c r="B46" s="549">
        <v>0</v>
      </c>
      <c r="C46" s="170" t="s">
        <v>145</v>
      </c>
      <c r="D46" s="156">
        <v>0.5</v>
      </c>
      <c r="E46" s="443">
        <f t="shared" si="0"/>
        <v>0</v>
      </c>
    </row>
    <row r="47" spans="1:5" ht="12.75">
      <c r="A47" s="138" t="s">
        <v>148</v>
      </c>
      <c r="B47" s="549">
        <v>0</v>
      </c>
      <c r="C47" s="170" t="s">
        <v>149</v>
      </c>
      <c r="D47" s="156">
        <v>0.2</v>
      </c>
      <c r="E47" s="443">
        <f t="shared" si="0"/>
        <v>0</v>
      </c>
    </row>
    <row r="48" spans="1:5" ht="48.75" customHeight="1" thickBot="1">
      <c r="A48" s="543" t="s">
        <v>150</v>
      </c>
      <c r="B48" s="434">
        <v>0</v>
      </c>
      <c r="C48" s="171" t="s">
        <v>151</v>
      </c>
      <c r="D48" s="134">
        <v>1</v>
      </c>
      <c r="E48" s="453">
        <f t="shared" si="0"/>
        <v>0</v>
      </c>
    </row>
    <row r="49" spans="1:5" ht="13.5" thickBot="1">
      <c r="A49" s="135"/>
      <c r="B49" s="104"/>
      <c r="D49" s="76" t="s">
        <v>152</v>
      </c>
      <c r="E49" s="454">
        <f>SUM(E43:E48)+E40</f>
        <v>0</v>
      </c>
    </row>
    <row r="50" spans="1:5" ht="13.5" thickTop="1">
      <c r="A50" s="65"/>
      <c r="B50" s="104"/>
      <c r="D50" s="47"/>
      <c r="E50" s="413"/>
    </row>
    <row r="51" spans="1:5" ht="13.5" thickBot="1">
      <c r="A51" s="47"/>
      <c r="B51" s="104"/>
      <c r="C51" s="47"/>
      <c r="D51" s="104"/>
      <c r="E51" s="413"/>
    </row>
    <row r="52" spans="1:5" ht="18.75" thickBot="1">
      <c r="A52" s="65"/>
      <c r="B52" s="167" t="s">
        <v>153</v>
      </c>
      <c r="C52" s="168"/>
      <c r="D52" s="168"/>
      <c r="E52" s="455">
        <f>E19+E28+E35+E49</f>
        <v>0</v>
      </c>
    </row>
  </sheetData>
  <sheetProtection password="83AF" sheet="1" objects="1" scenarios="1"/>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BL54"/>
  <sheetViews>
    <sheetView workbookViewId="0" topLeftCell="A1">
      <selection activeCell="D11" sqref="D11"/>
    </sheetView>
  </sheetViews>
  <sheetFormatPr defaultColWidth="9.140625" defaultRowHeight="12.75"/>
  <cols>
    <col min="2" max="2" width="12.28125" style="692" customWidth="1"/>
    <col min="4" max="4" width="12.421875" style="692" customWidth="1"/>
    <col min="5" max="5" width="10.140625" style="0" customWidth="1"/>
    <col min="8" max="8" width="11.28125" style="0" bestFit="1" customWidth="1"/>
    <col min="9" max="9" width="13.140625" style="692" customWidth="1"/>
    <col min="10" max="10" width="13.28125" style="692" customWidth="1"/>
    <col min="11" max="11" width="14.8515625" style="692" customWidth="1"/>
    <col min="12" max="12" width="11.8515625" style="692" customWidth="1"/>
    <col min="13" max="13" width="12.140625" style="692" customWidth="1"/>
    <col min="15" max="15" width="11.28125" style="692" bestFit="1" customWidth="1"/>
    <col min="16" max="16" width="9.7109375" style="692" bestFit="1" customWidth="1"/>
    <col min="17" max="17" width="13.28125" style="692" customWidth="1"/>
    <col min="18" max="19" width="9.7109375" style="692" bestFit="1" customWidth="1"/>
    <col min="20" max="20" width="11.28125" style="692" bestFit="1" customWidth="1"/>
    <col min="21" max="21" width="9.28125" style="692" bestFit="1" customWidth="1"/>
    <col min="22" max="22" width="10.57421875" style="692" customWidth="1"/>
    <col min="23" max="23" width="9.28125" style="692" bestFit="1" customWidth="1"/>
    <col min="24" max="24" width="9.7109375" style="692" bestFit="1" customWidth="1"/>
    <col min="25" max="34" width="9.28125" style="692" bestFit="1" customWidth="1"/>
    <col min="35" max="35" width="14.140625" style="692" customWidth="1"/>
    <col min="36" max="45" width="9.28125" style="692" bestFit="1" customWidth="1"/>
  </cols>
  <sheetData>
    <row r="1" spans="3:9" ht="18">
      <c r="C1" s="225" t="s">
        <v>154</v>
      </c>
      <c r="D1" s="700"/>
      <c r="I1" s="692" t="s">
        <v>13</v>
      </c>
    </row>
    <row r="2" spans="3:4" ht="18">
      <c r="C2" s="225"/>
      <c r="D2" s="700"/>
    </row>
    <row r="3" spans="1:13" ht="12.75">
      <c r="A3" s="2" t="s">
        <v>155</v>
      </c>
      <c r="H3" s="697" t="s">
        <v>13</v>
      </c>
      <c r="I3" s="692" t="s">
        <v>13</v>
      </c>
      <c r="J3" s="692" t="s">
        <v>13</v>
      </c>
      <c r="K3" s="692" t="s">
        <v>13</v>
      </c>
      <c r="L3" s="692" t="s">
        <v>13</v>
      </c>
      <c r="M3" s="692" t="s">
        <v>13</v>
      </c>
    </row>
    <row r="4" spans="1:8" ht="12.75">
      <c r="A4" s="2"/>
      <c r="G4" s="698"/>
      <c r="H4" s="699"/>
    </row>
    <row r="5" spans="1:8" ht="12.75">
      <c r="A5" s="2"/>
      <c r="H5" s="697"/>
    </row>
    <row r="6" spans="1:13" ht="12.75">
      <c r="A6" s="2"/>
      <c r="H6" s="697"/>
      <c r="I6" s="692" t="s">
        <v>13</v>
      </c>
      <c r="J6" s="692" t="s">
        <v>13</v>
      </c>
      <c r="K6" s="692" t="s">
        <v>13</v>
      </c>
      <c r="L6" s="692" t="s">
        <v>13</v>
      </c>
      <c r="M6" s="692" t="s">
        <v>13</v>
      </c>
    </row>
    <row r="7" spans="1:56" ht="12.75">
      <c r="A7" s="770" t="s">
        <v>480</v>
      </c>
      <c r="B7" s="693"/>
      <c r="C7" s="9"/>
      <c r="D7" s="693"/>
      <c r="E7" s="757">
        <v>38353</v>
      </c>
      <c r="G7" s="9"/>
      <c r="H7" s="9"/>
      <c r="I7" s="726"/>
      <c r="J7" s="702"/>
      <c r="K7" s="702"/>
      <c r="L7" s="702"/>
      <c r="M7" s="702"/>
      <c r="N7" s="213" t="s">
        <v>156</v>
      </c>
      <c r="O7" s="702"/>
      <c r="P7" s="702"/>
      <c r="Q7" s="702"/>
      <c r="R7" s="702"/>
      <c r="S7" s="702"/>
      <c r="T7" s="702"/>
      <c r="U7" s="702"/>
      <c r="V7" s="702"/>
      <c r="W7" s="702"/>
      <c r="X7" s="702"/>
      <c r="Y7" s="702"/>
      <c r="Z7" s="702"/>
      <c r="AA7" s="702"/>
      <c r="AB7" s="702"/>
      <c r="AC7" s="702"/>
      <c r="AD7" s="702"/>
      <c r="AE7" s="702"/>
      <c r="AF7" s="702"/>
      <c r="AG7" s="702"/>
      <c r="AH7" s="702"/>
      <c r="AI7" s="702"/>
      <c r="AJ7" s="702"/>
      <c r="AK7" s="702"/>
      <c r="AL7" s="702"/>
      <c r="AM7" s="702"/>
      <c r="AN7" s="702"/>
      <c r="AO7" s="702"/>
      <c r="AP7" s="702"/>
      <c r="AQ7" s="702"/>
      <c r="AR7" s="702"/>
      <c r="AS7" s="702"/>
      <c r="AT7" s="9"/>
      <c r="AU7" s="9"/>
      <c r="AV7" s="9"/>
      <c r="AW7" s="9"/>
      <c r="AX7" s="9"/>
      <c r="AY7" s="9"/>
      <c r="AZ7" s="9"/>
      <c r="BA7" s="9"/>
      <c r="BB7" s="9"/>
      <c r="BC7" s="9"/>
      <c r="BD7" s="28" t="s">
        <v>157</v>
      </c>
    </row>
    <row r="8" spans="1:64" ht="89.25">
      <c r="A8" s="177" t="s">
        <v>158</v>
      </c>
      <c r="B8" s="694" t="s">
        <v>159</v>
      </c>
      <c r="C8" s="178" t="s">
        <v>160</v>
      </c>
      <c r="D8" s="694" t="s">
        <v>450</v>
      </c>
      <c r="E8" s="178" t="s">
        <v>162</v>
      </c>
      <c r="F8" s="177" t="s">
        <v>163</v>
      </c>
      <c r="G8" s="177" t="s">
        <v>21</v>
      </c>
      <c r="H8" s="179" t="s">
        <v>164</v>
      </c>
      <c r="I8" s="703" t="s">
        <v>165</v>
      </c>
      <c r="J8" s="727" t="s">
        <v>166</v>
      </c>
      <c r="K8" s="728"/>
      <c r="L8" s="728"/>
      <c r="M8" s="703" t="s">
        <v>167</v>
      </c>
      <c r="N8" s="178" t="s">
        <v>168</v>
      </c>
      <c r="O8" s="703" t="s">
        <v>169</v>
      </c>
      <c r="P8" s="694" t="s">
        <v>170</v>
      </c>
      <c r="Q8" s="694" t="s">
        <v>171</v>
      </c>
      <c r="R8" s="694" t="s">
        <v>172</v>
      </c>
      <c r="S8" s="694" t="s">
        <v>173</v>
      </c>
      <c r="T8" s="694" t="s">
        <v>174</v>
      </c>
      <c r="U8" s="694" t="s">
        <v>175</v>
      </c>
      <c r="V8" s="694" t="s">
        <v>176</v>
      </c>
      <c r="W8" s="694" t="s">
        <v>177</v>
      </c>
      <c r="X8" s="694" t="s">
        <v>178</v>
      </c>
      <c r="Y8" s="694" t="s">
        <v>179</v>
      </c>
      <c r="Z8" s="694" t="s">
        <v>180</v>
      </c>
      <c r="AA8" s="694" t="s">
        <v>181</v>
      </c>
      <c r="AB8" s="694" t="s">
        <v>182</v>
      </c>
      <c r="AC8" s="694" t="s">
        <v>183</v>
      </c>
      <c r="AD8" s="694" t="s">
        <v>184</v>
      </c>
      <c r="AE8" s="694" t="s">
        <v>185</v>
      </c>
      <c r="AF8" s="694" t="s">
        <v>186</v>
      </c>
      <c r="AG8" s="694" t="s">
        <v>187</v>
      </c>
      <c r="AH8" s="694" t="s">
        <v>188</v>
      </c>
      <c r="AI8" s="694" t="s">
        <v>189</v>
      </c>
      <c r="AJ8" s="694" t="s">
        <v>190</v>
      </c>
      <c r="AK8" s="694" t="s">
        <v>191</v>
      </c>
      <c r="AL8" s="694" t="s">
        <v>192</v>
      </c>
      <c r="AM8" s="694" t="s">
        <v>193</v>
      </c>
      <c r="AN8" s="694" t="s">
        <v>194</v>
      </c>
      <c r="AO8" s="694" t="s">
        <v>195</v>
      </c>
      <c r="AP8" s="694" t="s">
        <v>196</v>
      </c>
      <c r="AQ8" s="694" t="s">
        <v>197</v>
      </c>
      <c r="AR8" s="694" t="s">
        <v>198</v>
      </c>
      <c r="AS8" s="694" t="s">
        <v>199</v>
      </c>
      <c r="AT8" s="177" t="s">
        <v>200</v>
      </c>
      <c r="AU8" s="177" t="s">
        <v>201</v>
      </c>
      <c r="AV8" s="180" t="s">
        <v>202</v>
      </c>
      <c r="AW8" s="181" t="s">
        <v>203</v>
      </c>
      <c r="AX8" s="181" t="s">
        <v>204</v>
      </c>
      <c r="AY8" s="181" t="s">
        <v>205</v>
      </c>
      <c r="AZ8" s="181" t="s">
        <v>206</v>
      </c>
      <c r="BA8" s="181" t="s">
        <v>207</v>
      </c>
      <c r="BB8" s="181" t="s">
        <v>208</v>
      </c>
      <c r="BC8" s="9"/>
      <c r="BD8" s="182" t="s">
        <v>209</v>
      </c>
      <c r="BE8" s="182" t="s">
        <v>456</v>
      </c>
      <c r="BF8" s="182" t="s">
        <v>201</v>
      </c>
      <c r="BG8" s="182" t="s">
        <v>457</v>
      </c>
      <c r="BK8" t="s">
        <v>448</v>
      </c>
      <c r="BL8" t="s">
        <v>449</v>
      </c>
    </row>
    <row r="9" spans="1:64" ht="12.75">
      <c r="A9" s="183" t="s">
        <v>477</v>
      </c>
      <c r="B9" s="695" t="s">
        <v>13</v>
      </c>
      <c r="C9" s="736" t="s">
        <v>13</v>
      </c>
      <c r="D9" s="755">
        <v>969555</v>
      </c>
      <c r="E9" s="696">
        <v>38776</v>
      </c>
      <c r="F9" s="185">
        <v>0.14</v>
      </c>
      <c r="G9" s="756" t="s">
        <v>13</v>
      </c>
      <c r="H9" s="697">
        <f aca="true" t="shared" si="0" ref="H9:H28">(+E9-$E$7)/365</f>
        <v>1.158904109589041</v>
      </c>
      <c r="I9" s="729">
        <f aca="true" t="shared" si="1" ref="I9:I28">IF(G9=1,(D9),0)</f>
        <v>0</v>
      </c>
      <c r="J9" s="693">
        <f aca="true" t="shared" si="2" ref="J9:J28">IF(AND($G9=2,$H9&lt;0.5),ABS($D9),0)</f>
        <v>0</v>
      </c>
      <c r="K9" s="693">
        <f aca="true" t="shared" si="3" ref="K9:K28">IF(AND($G9=2,$H9&gt;=0.5,$H9&lt;=2),ABS($D9),0)</f>
        <v>0</v>
      </c>
      <c r="L9" s="693">
        <f aca="true" t="shared" si="4" ref="L9:L28">IF(AND($G9=2,$H9&gt;2),ABS($D9),0)</f>
        <v>0</v>
      </c>
      <c r="M9" s="693">
        <f aca="true" t="shared" si="5" ref="M9:M28">IF(G9=3,ABS(D9),0)</f>
        <v>0</v>
      </c>
      <c r="N9" s="188">
        <f>MATCH(H9,IF(F9&gt;=0.03,sss,CpnLT3),1)</f>
        <v>5</v>
      </c>
      <c r="O9" s="692">
        <f aca="true" t="shared" si="6" ref="O9:O28">VLOOKUP(+N9,$BK$8:$BL$23,2,TRUE)*D9</f>
        <v>12119.4375</v>
      </c>
      <c r="P9" s="704">
        <f>IF(N9=1,MAX(O9,0),0)</f>
        <v>0</v>
      </c>
      <c r="Q9" s="704">
        <f>IF(N9=2,MAX(O9,0),0)</f>
        <v>0</v>
      </c>
      <c r="R9" s="704">
        <f>IF(N9=3,MAX(O9,0),0)</f>
        <v>0</v>
      </c>
      <c r="S9" s="704">
        <f>IF(N9=4,MAX(O9,0),0)</f>
        <v>0</v>
      </c>
      <c r="T9" s="704">
        <f>IF(N9=5,MAX(O9,0),0)</f>
        <v>12119.4375</v>
      </c>
      <c r="U9" s="704">
        <f>IF(N9=6,MAX(O9,0),0)</f>
        <v>0</v>
      </c>
      <c r="V9" s="704">
        <f>IF(N9=7,MAX(O9,0),0)</f>
        <v>0</v>
      </c>
      <c r="W9" s="704">
        <f>IF(N9=8,MAX(O9,0),0)</f>
        <v>0</v>
      </c>
      <c r="X9" s="704">
        <f>IF(N9=9,MAX(O9,0),0)</f>
        <v>0</v>
      </c>
      <c r="Y9" s="704">
        <f>IF(N9=10,MAX(O9,0),0)</f>
        <v>0</v>
      </c>
      <c r="Z9" s="704">
        <f>IF(N9=11,MAX(O9,0),0)</f>
        <v>0</v>
      </c>
      <c r="AA9" s="704">
        <f>IF(N9=12,MAX(O9,0),0)</f>
        <v>0</v>
      </c>
      <c r="AB9" s="704">
        <f>IF(N9=13,MAX(O9,0),0)</f>
        <v>0</v>
      </c>
      <c r="AC9" s="704">
        <f>IF(N9=14,MAX(O9,0),0)</f>
        <v>0</v>
      </c>
      <c r="AD9" s="704">
        <f>IF(N9=15,MAX(O9,0),0)</f>
        <v>0</v>
      </c>
      <c r="AE9" s="704">
        <f>IF(N9=1,MIN(O9,0),0)</f>
        <v>0</v>
      </c>
      <c r="AF9" s="704">
        <f>IF(N9=2,MIN(O9,0),0)</f>
        <v>0</v>
      </c>
      <c r="AG9" s="704">
        <f>IF(N9=3,MIN(O9,0),0)</f>
        <v>0</v>
      </c>
      <c r="AH9" s="704">
        <f>IF(N9=4,MIN(O9,0),0)</f>
        <v>0</v>
      </c>
      <c r="AI9" s="704">
        <f>IF(N9=5,MIN(O9,0),0)</f>
        <v>0</v>
      </c>
      <c r="AJ9" s="704">
        <f>IF(N9=6,MIN(O9,0),0)</f>
        <v>0</v>
      </c>
      <c r="AK9" s="704">
        <f>IF(N9=7,MIN(O9,0),0)</f>
        <v>0</v>
      </c>
      <c r="AL9" s="704">
        <f>IF(N9=8,MIN(O9,0),0)</f>
        <v>0</v>
      </c>
      <c r="AM9" s="704">
        <f>IF(N9=9,MIN(O9,0),0)</f>
        <v>0</v>
      </c>
      <c r="AN9" s="704">
        <f>IF(N9=10,MIN(O9,0),0)</f>
        <v>0</v>
      </c>
      <c r="AO9" s="704">
        <f>IF(N9=11,MIN(O9,0),0)</f>
        <v>0</v>
      </c>
      <c r="AP9" s="704">
        <f>IF(N9=12,MIN(O9,0),0)</f>
        <v>0</v>
      </c>
      <c r="AQ9" s="704">
        <f>IF(N9=13,MIN(O9,0),0)</f>
        <v>0</v>
      </c>
      <c r="AR9" s="704">
        <f>IF(N9=14,MIN(O9,0),0)</f>
        <v>0</v>
      </c>
      <c r="AS9" s="704">
        <f>IF(N9=15,MIN(O9,0),0)</f>
        <v>0</v>
      </c>
      <c r="AT9" s="189" t="e">
        <f>MDURATION([0]!EFFDATE,E9,F9,C9/100,2)</f>
        <v>#NAME?</v>
      </c>
      <c r="AU9" s="190">
        <f>IF(OR(ISERR(AT9),ISERR(#REF!)),0,IF(AT9&lt;=1,1,IF(AT9&gt;3.6,3,2)))</f>
        <v>0</v>
      </c>
      <c r="AV9" s="191">
        <f>IF(AU9=0,0,B9/100*#REF!*AT9*CHOOSE(AU9,0.01,0.0085,0.007))</f>
        <v>0</v>
      </c>
      <c r="AW9" s="192">
        <f aca="true" t="shared" si="7" ref="AW9:AW28">IF($AU9&lt;&gt;1,0,MAX($AV9,0))</f>
        <v>0</v>
      </c>
      <c r="AX9" s="192">
        <f aca="true" t="shared" si="8" ref="AX9:AX28">IF($AU9&lt;&gt;2,0,MAX($AV9,0))</f>
        <v>0</v>
      </c>
      <c r="AY9" s="192">
        <f aca="true" t="shared" si="9" ref="AY9:AY28">IF($AU9&lt;&gt;3,0,MAX($AV9,0))</f>
        <v>0</v>
      </c>
      <c r="AZ9" s="192">
        <f aca="true" t="shared" si="10" ref="AZ9:AZ28">IF($AU9&lt;&gt;1,0,MIN($AV9,0))</f>
        <v>0</v>
      </c>
      <c r="BA9" s="192">
        <f aca="true" t="shared" si="11" ref="BA9:BA28">IF($AU9&lt;&gt;2,0,MIN($AV9,0))</f>
        <v>0</v>
      </c>
      <c r="BB9" s="192">
        <f aca="true" t="shared" si="12" ref="BB9:BB28">IF($AU9&lt;&gt;3,0,MIN($AV9,0))</f>
        <v>0</v>
      </c>
      <c r="BC9" s="9"/>
      <c r="BD9" s="28">
        <v>0</v>
      </c>
      <c r="BE9" s="28">
        <v>0</v>
      </c>
      <c r="BF9" s="28">
        <v>1</v>
      </c>
      <c r="BG9" s="740">
        <v>0</v>
      </c>
      <c r="BK9">
        <v>1</v>
      </c>
      <c r="BL9">
        <v>0</v>
      </c>
    </row>
    <row r="10" spans="1:64" ht="12.75">
      <c r="A10" s="183" t="s">
        <v>213</v>
      </c>
      <c r="B10" s="695" t="s">
        <v>13</v>
      </c>
      <c r="C10" s="736" t="s">
        <v>13</v>
      </c>
      <c r="D10" s="701">
        <v>-632545</v>
      </c>
      <c r="E10" s="193">
        <v>40421</v>
      </c>
      <c r="F10" s="194">
        <v>0.115</v>
      </c>
      <c r="G10" s="756" t="s">
        <v>13</v>
      </c>
      <c r="H10" s="697">
        <f t="shared" si="0"/>
        <v>5.6657534246575345</v>
      </c>
      <c r="I10" s="729">
        <f t="shared" si="1"/>
        <v>0</v>
      </c>
      <c r="J10" s="693">
        <f t="shared" si="2"/>
        <v>0</v>
      </c>
      <c r="K10" s="693">
        <f t="shared" si="3"/>
        <v>0</v>
      </c>
      <c r="L10" s="693">
        <f t="shared" si="4"/>
        <v>0</v>
      </c>
      <c r="M10" s="693">
        <f t="shared" si="5"/>
        <v>0</v>
      </c>
      <c r="N10" s="188">
        <f aca="true" t="shared" si="13" ref="N10:N28">MATCH(H10,IF(F10&gt;=0.03,sss,CpnLT3),1)</f>
        <v>9</v>
      </c>
      <c r="O10" s="692">
        <f t="shared" si="6"/>
        <v>-20557.7125</v>
      </c>
      <c r="P10" s="704">
        <f aca="true" t="shared" si="14" ref="P10:P28">IF(N10=1,MAX(O10,0),0)</f>
        <v>0</v>
      </c>
      <c r="Q10" s="704">
        <f aca="true" t="shared" si="15" ref="Q10:Q28">IF(N10=2,MAX(O10,0),0)</f>
        <v>0</v>
      </c>
      <c r="R10" s="704">
        <f aca="true" t="shared" si="16" ref="R10:R28">IF(N10=3,MAX(O10,0),0)</f>
        <v>0</v>
      </c>
      <c r="S10" s="704">
        <f aca="true" t="shared" si="17" ref="S10:S28">IF(N10=4,MAX(O10,0),0)</f>
        <v>0</v>
      </c>
      <c r="T10" s="704">
        <f aca="true" t="shared" si="18" ref="T10:T28">IF(N10=5,MAX(O10,0),0)</f>
        <v>0</v>
      </c>
      <c r="U10" s="704">
        <f aca="true" t="shared" si="19" ref="U10:U28">IF(N10=6,MAX(O10,0),0)</f>
        <v>0</v>
      </c>
      <c r="V10" s="704">
        <f aca="true" t="shared" si="20" ref="V10:V28">IF(N10=7,MAX(O10,0),0)</f>
        <v>0</v>
      </c>
      <c r="W10" s="704">
        <f aca="true" t="shared" si="21" ref="W10:W28">IF(N10=8,MAX(O10,0),0)</f>
        <v>0</v>
      </c>
      <c r="X10" s="704">
        <f aca="true" t="shared" si="22" ref="X10:X28">IF(N10=9,MAX(O10,0),0)</f>
        <v>0</v>
      </c>
      <c r="Y10" s="704">
        <f aca="true" t="shared" si="23" ref="Y10:Y28">IF(N10=10,MAX(O10,0),0)</f>
        <v>0</v>
      </c>
      <c r="Z10" s="704">
        <f aca="true" t="shared" si="24" ref="Z10:Z28">IF(N10=11,MAX(O10,0),0)</f>
        <v>0</v>
      </c>
      <c r="AA10" s="704">
        <f aca="true" t="shared" si="25" ref="AA10:AA28">IF(N10=12,MAX(O10,0),0)</f>
        <v>0</v>
      </c>
      <c r="AB10" s="704">
        <f aca="true" t="shared" si="26" ref="AB10:AB28">IF(N10=13,MAX(O10,0),0)</f>
        <v>0</v>
      </c>
      <c r="AC10" s="704">
        <f aca="true" t="shared" si="27" ref="AC10:AC28">IF(N10=14,MAX(O10,0),0)</f>
        <v>0</v>
      </c>
      <c r="AD10" s="704">
        <f aca="true" t="shared" si="28" ref="AD10:AD28">IF(N10=15,MAX(O10,0),0)</f>
        <v>0</v>
      </c>
      <c r="AE10" s="704">
        <f aca="true" t="shared" si="29" ref="AE10:AE28">IF(N10=1,MIN(O10,0),0)</f>
        <v>0</v>
      </c>
      <c r="AF10" s="704">
        <f aca="true" t="shared" si="30" ref="AF10:AF28">IF(N10=2,MIN(O10,0),0)</f>
        <v>0</v>
      </c>
      <c r="AG10" s="704">
        <f aca="true" t="shared" si="31" ref="AG10:AG28">IF(N10=3,MIN(O10,0),0)</f>
        <v>0</v>
      </c>
      <c r="AH10" s="704">
        <f aca="true" t="shared" si="32" ref="AH10:AH28">IF(N10=4,MIN(O10,0),0)</f>
        <v>0</v>
      </c>
      <c r="AI10" s="704">
        <f aca="true" t="shared" si="33" ref="AI10:AI28">IF(N10=5,MIN(O10,0),0)</f>
        <v>0</v>
      </c>
      <c r="AJ10" s="704">
        <f aca="true" t="shared" si="34" ref="AJ10:AJ28">IF(N10=6,MIN(O10,0),0)</f>
        <v>0</v>
      </c>
      <c r="AK10" s="704">
        <f aca="true" t="shared" si="35" ref="AK10:AK28">IF(N10=7,MIN(O10,0),0)</f>
        <v>0</v>
      </c>
      <c r="AL10" s="704">
        <f aca="true" t="shared" si="36" ref="AL10:AL28">IF(N10=8,MIN(O10,0),0)</f>
        <v>0</v>
      </c>
      <c r="AM10" s="704">
        <f aca="true" t="shared" si="37" ref="AM10:AM28">IF(N10=9,MIN(O10,0),0)</f>
        <v>-20557.7125</v>
      </c>
      <c r="AN10" s="704">
        <f aca="true" t="shared" si="38" ref="AN10:AN28">IF(N10=10,MIN(O10,0),0)</f>
        <v>0</v>
      </c>
      <c r="AO10" s="704">
        <f aca="true" t="shared" si="39" ref="AO10:AO28">IF(N10=11,MIN(O10,0),0)</f>
        <v>0</v>
      </c>
      <c r="AP10" s="704">
        <f aca="true" t="shared" si="40" ref="AP10:AP28">IF(N10=12,MIN(O10,0),0)</f>
        <v>0</v>
      </c>
      <c r="AQ10" s="704">
        <f aca="true" t="shared" si="41" ref="AQ10:AQ28">IF(N10=13,MIN(O10,0),0)</f>
        <v>0</v>
      </c>
      <c r="AR10" s="704">
        <f aca="true" t="shared" si="42" ref="AR10:AR28">IF(N10=14,MIN(O10,0),0)</f>
        <v>0</v>
      </c>
      <c r="AS10" s="704">
        <f aca="true" t="shared" si="43" ref="AS10:AS28">IF(N10=15,MIN(O10,0),0)</f>
        <v>0</v>
      </c>
      <c r="AT10" s="189" t="e">
        <f>MDURATION([0]!EFFDATE,E10,F10,C10/100,2)</f>
        <v>#NAME?</v>
      </c>
      <c r="AU10" s="190">
        <f>IF(OR(ISERR(AT10),ISERR(#REF!)),0,IF(AT10&lt;=1,1,IF(AT10&gt;3.6,3,2)))</f>
        <v>0</v>
      </c>
      <c r="AV10" s="191">
        <f>IF(AU10=0,0,B10/100*#REF!*AT10*CHOOSE(AU10,0.01,0.0085,0.007))</f>
        <v>0</v>
      </c>
      <c r="AW10" s="192">
        <f t="shared" si="7"/>
        <v>0</v>
      </c>
      <c r="AX10" s="192">
        <f t="shared" si="8"/>
        <v>0</v>
      </c>
      <c r="AY10" s="192">
        <f t="shared" si="9"/>
        <v>0</v>
      </c>
      <c r="AZ10" s="192">
        <f t="shared" si="10"/>
        <v>0</v>
      </c>
      <c r="BA10" s="192">
        <f t="shared" si="11"/>
        <v>0</v>
      </c>
      <c r="BB10" s="192">
        <f t="shared" si="12"/>
        <v>0</v>
      </c>
      <c r="BC10" s="187"/>
      <c r="BD10" s="195">
        <v>0.08333333334333333</v>
      </c>
      <c r="BE10" s="195">
        <v>0.08333333334333333</v>
      </c>
      <c r="BF10" s="28">
        <v>1</v>
      </c>
      <c r="BG10" s="740">
        <v>0.002</v>
      </c>
      <c r="BH10">
        <v>15</v>
      </c>
      <c r="BI10">
        <f>VLOOKUP(+BH10,BK8:BL23,2,TRUE)</f>
        <v>0.125</v>
      </c>
      <c r="BK10">
        <v>2</v>
      </c>
      <c r="BL10">
        <v>0.002</v>
      </c>
    </row>
    <row r="11" spans="1:64" ht="12.75">
      <c r="A11" s="183" t="s">
        <v>474</v>
      </c>
      <c r="B11" s="695" t="s">
        <v>13</v>
      </c>
      <c r="C11" s="736" t="s">
        <v>13</v>
      </c>
      <c r="D11" s="755">
        <v>0</v>
      </c>
      <c r="E11" s="193">
        <v>42262</v>
      </c>
      <c r="F11" s="185">
        <v>0.12</v>
      </c>
      <c r="G11" s="756" t="s">
        <v>13</v>
      </c>
      <c r="H11" s="697">
        <f t="shared" si="0"/>
        <v>10.70958904109589</v>
      </c>
      <c r="I11" s="729">
        <f t="shared" si="1"/>
        <v>0</v>
      </c>
      <c r="J11" s="693">
        <f t="shared" si="2"/>
        <v>0</v>
      </c>
      <c r="K11" s="693">
        <f t="shared" si="3"/>
        <v>0</v>
      </c>
      <c r="L11" s="693">
        <f t="shared" si="4"/>
        <v>0</v>
      </c>
      <c r="M11" s="693">
        <f t="shared" si="5"/>
        <v>0</v>
      </c>
      <c r="N11" s="188">
        <f t="shared" si="13"/>
        <v>11</v>
      </c>
      <c r="O11" s="692">
        <f t="shared" si="6"/>
        <v>0</v>
      </c>
      <c r="P11" s="704">
        <f t="shared" si="14"/>
        <v>0</v>
      </c>
      <c r="Q11" s="704">
        <f t="shared" si="15"/>
        <v>0</v>
      </c>
      <c r="R11" s="704">
        <f t="shared" si="16"/>
        <v>0</v>
      </c>
      <c r="S11" s="704">
        <f t="shared" si="17"/>
        <v>0</v>
      </c>
      <c r="T11" s="704">
        <f t="shared" si="18"/>
        <v>0</v>
      </c>
      <c r="U11" s="704">
        <f t="shared" si="19"/>
        <v>0</v>
      </c>
      <c r="V11" s="704">
        <f t="shared" si="20"/>
        <v>0</v>
      </c>
      <c r="W11" s="704">
        <f t="shared" si="21"/>
        <v>0</v>
      </c>
      <c r="X11" s="704">
        <f t="shared" si="22"/>
        <v>0</v>
      </c>
      <c r="Y11" s="704">
        <f t="shared" si="23"/>
        <v>0</v>
      </c>
      <c r="Z11" s="704">
        <f t="shared" si="24"/>
        <v>0</v>
      </c>
      <c r="AA11" s="704">
        <f t="shared" si="25"/>
        <v>0</v>
      </c>
      <c r="AB11" s="704">
        <f t="shared" si="26"/>
        <v>0</v>
      </c>
      <c r="AC11" s="704">
        <f t="shared" si="27"/>
        <v>0</v>
      </c>
      <c r="AD11" s="704">
        <f t="shared" si="28"/>
        <v>0</v>
      </c>
      <c r="AE11" s="704">
        <f t="shared" si="29"/>
        <v>0</v>
      </c>
      <c r="AF11" s="704">
        <f t="shared" si="30"/>
        <v>0</v>
      </c>
      <c r="AG11" s="704">
        <f t="shared" si="31"/>
        <v>0</v>
      </c>
      <c r="AH11" s="704">
        <f t="shared" si="32"/>
        <v>0</v>
      </c>
      <c r="AI11" s="704">
        <f t="shared" si="33"/>
        <v>0</v>
      </c>
      <c r="AJ11" s="704">
        <f t="shared" si="34"/>
        <v>0</v>
      </c>
      <c r="AK11" s="704">
        <f t="shared" si="35"/>
        <v>0</v>
      </c>
      <c r="AL11" s="704">
        <f t="shared" si="36"/>
        <v>0</v>
      </c>
      <c r="AM11" s="704">
        <f t="shared" si="37"/>
        <v>0</v>
      </c>
      <c r="AN11" s="704">
        <f t="shared" si="38"/>
        <v>0</v>
      </c>
      <c r="AO11" s="704">
        <f t="shared" si="39"/>
        <v>0</v>
      </c>
      <c r="AP11" s="704">
        <f t="shared" si="40"/>
        <v>0</v>
      </c>
      <c r="AQ11" s="704">
        <f t="shared" si="41"/>
        <v>0</v>
      </c>
      <c r="AR11" s="704">
        <f t="shared" si="42"/>
        <v>0</v>
      </c>
      <c r="AS11" s="704">
        <f t="shared" si="43"/>
        <v>0</v>
      </c>
      <c r="AT11" s="189" t="e">
        <f>MDURATION([0]!EFFDATE,E11,F11,C11/100,2)</f>
        <v>#NAME?</v>
      </c>
      <c r="AU11" s="190">
        <f>IF(OR(ISERR(AT11),ISERR(#REF!)),0,IF(AT11&lt;=1,1,IF(AT11&gt;3.6,3,2)))</f>
        <v>0</v>
      </c>
      <c r="AV11" s="191">
        <f>IF(AU11=0,0,B11/100*#REF!*AT11*CHOOSE(AU11,0.01,0.0085,0.007))</f>
        <v>0</v>
      </c>
      <c r="AW11" s="192">
        <f t="shared" si="7"/>
        <v>0</v>
      </c>
      <c r="AX11" s="192">
        <f t="shared" si="8"/>
        <v>0</v>
      </c>
      <c r="AY11" s="192">
        <f t="shared" si="9"/>
        <v>0</v>
      </c>
      <c r="AZ11" s="192">
        <f t="shared" si="10"/>
        <v>0</v>
      </c>
      <c r="BA11" s="192">
        <f t="shared" si="11"/>
        <v>0</v>
      </c>
      <c r="BB11" s="192">
        <f t="shared" si="12"/>
        <v>0</v>
      </c>
      <c r="BC11" s="187"/>
      <c r="BD11" s="28">
        <v>0.25000000001</v>
      </c>
      <c r="BE11" s="28">
        <v>0.25000000001</v>
      </c>
      <c r="BF11" s="28">
        <v>1</v>
      </c>
      <c r="BG11" s="740">
        <v>0.004</v>
      </c>
      <c r="BH11">
        <v>2</v>
      </c>
      <c r="BK11">
        <v>3</v>
      </c>
      <c r="BL11">
        <v>0.004</v>
      </c>
    </row>
    <row r="12" spans="1:64" ht="12.75">
      <c r="A12" s="348" t="s">
        <v>476</v>
      </c>
      <c r="B12" s="695" t="s">
        <v>13</v>
      </c>
      <c r="C12" s="736" t="s">
        <v>13</v>
      </c>
      <c r="D12" s="755">
        <v>0</v>
      </c>
      <c r="E12" s="193">
        <v>46377</v>
      </c>
      <c r="F12" s="185">
        <v>0.13</v>
      </c>
      <c r="G12" s="756" t="s">
        <v>13</v>
      </c>
      <c r="H12" s="697">
        <f t="shared" si="0"/>
        <v>21.983561643835618</v>
      </c>
      <c r="I12" s="729">
        <f t="shared" si="1"/>
        <v>0</v>
      </c>
      <c r="J12" s="693">
        <f t="shared" si="2"/>
        <v>0</v>
      </c>
      <c r="K12" s="693">
        <f t="shared" si="3"/>
        <v>0</v>
      </c>
      <c r="L12" s="693">
        <f t="shared" si="4"/>
        <v>0</v>
      </c>
      <c r="M12" s="693">
        <f t="shared" si="5"/>
        <v>0</v>
      </c>
      <c r="N12" s="188">
        <f t="shared" si="13"/>
        <v>13</v>
      </c>
      <c r="O12" s="692">
        <f t="shared" si="6"/>
        <v>0</v>
      </c>
      <c r="P12" s="704">
        <f t="shared" si="14"/>
        <v>0</v>
      </c>
      <c r="Q12" s="704">
        <f t="shared" si="15"/>
        <v>0</v>
      </c>
      <c r="R12" s="704">
        <f t="shared" si="16"/>
        <v>0</v>
      </c>
      <c r="S12" s="704">
        <f t="shared" si="17"/>
        <v>0</v>
      </c>
      <c r="T12" s="704">
        <f t="shared" si="18"/>
        <v>0</v>
      </c>
      <c r="U12" s="704">
        <f t="shared" si="19"/>
        <v>0</v>
      </c>
      <c r="V12" s="704">
        <f t="shared" si="20"/>
        <v>0</v>
      </c>
      <c r="W12" s="704">
        <f t="shared" si="21"/>
        <v>0</v>
      </c>
      <c r="X12" s="704">
        <f t="shared" si="22"/>
        <v>0</v>
      </c>
      <c r="Y12" s="704">
        <f t="shared" si="23"/>
        <v>0</v>
      </c>
      <c r="Z12" s="704">
        <f t="shared" si="24"/>
        <v>0</v>
      </c>
      <c r="AA12" s="704">
        <f t="shared" si="25"/>
        <v>0</v>
      </c>
      <c r="AB12" s="704">
        <f t="shared" si="26"/>
        <v>0</v>
      </c>
      <c r="AC12" s="704">
        <f t="shared" si="27"/>
        <v>0</v>
      </c>
      <c r="AD12" s="704">
        <f t="shared" si="28"/>
        <v>0</v>
      </c>
      <c r="AE12" s="704">
        <f t="shared" si="29"/>
        <v>0</v>
      </c>
      <c r="AF12" s="704">
        <f t="shared" si="30"/>
        <v>0</v>
      </c>
      <c r="AG12" s="704">
        <f t="shared" si="31"/>
        <v>0</v>
      </c>
      <c r="AH12" s="704">
        <f t="shared" si="32"/>
        <v>0</v>
      </c>
      <c r="AI12" s="704">
        <f t="shared" si="33"/>
        <v>0</v>
      </c>
      <c r="AJ12" s="704">
        <f t="shared" si="34"/>
        <v>0</v>
      </c>
      <c r="AK12" s="704">
        <f t="shared" si="35"/>
        <v>0</v>
      </c>
      <c r="AL12" s="704">
        <f t="shared" si="36"/>
        <v>0</v>
      </c>
      <c r="AM12" s="704">
        <f t="shared" si="37"/>
        <v>0</v>
      </c>
      <c r="AN12" s="704">
        <f t="shared" si="38"/>
        <v>0</v>
      </c>
      <c r="AO12" s="704">
        <f t="shared" si="39"/>
        <v>0</v>
      </c>
      <c r="AP12" s="704">
        <f t="shared" si="40"/>
        <v>0</v>
      </c>
      <c r="AQ12" s="704">
        <f t="shared" si="41"/>
        <v>0</v>
      </c>
      <c r="AR12" s="704">
        <f t="shared" si="42"/>
        <v>0</v>
      </c>
      <c r="AS12" s="704">
        <f t="shared" si="43"/>
        <v>0</v>
      </c>
      <c r="AT12" s="189" t="e">
        <f>MDURATION([0]!EFFDATE,E12,F12,C12/100,2)</f>
        <v>#NAME?</v>
      </c>
      <c r="AU12" s="190">
        <f>IF(OR(ISERR(AT12),ISERR(#REF!)),0,IF(AT12&lt;=1,1,IF(AT12&gt;3.6,3,2)))</f>
        <v>0</v>
      </c>
      <c r="AV12" s="191">
        <f>IF(AU12=0,0,B12/100*#REF!*AT12*CHOOSE(AU12,0.01,0.0085,0.007))</f>
        <v>0</v>
      </c>
      <c r="AW12" s="192">
        <f t="shared" si="7"/>
        <v>0</v>
      </c>
      <c r="AX12" s="192">
        <f t="shared" si="8"/>
        <v>0</v>
      </c>
      <c r="AY12" s="192">
        <f t="shared" si="9"/>
        <v>0</v>
      </c>
      <c r="AZ12" s="192">
        <f t="shared" si="10"/>
        <v>0</v>
      </c>
      <c r="BA12" s="192">
        <f t="shared" si="11"/>
        <v>0</v>
      </c>
      <c r="BB12" s="192">
        <f t="shared" si="12"/>
        <v>0</v>
      </c>
      <c r="BC12" s="187"/>
      <c r="BD12" s="28">
        <v>0.50000000001</v>
      </c>
      <c r="BE12" s="28">
        <v>0.50000000001</v>
      </c>
      <c r="BF12" s="28">
        <v>1</v>
      </c>
      <c r="BG12" s="740">
        <v>0.007</v>
      </c>
      <c r="BK12">
        <v>4</v>
      </c>
      <c r="BL12">
        <v>0.006999999999999999</v>
      </c>
    </row>
    <row r="13" spans="1:64" ht="12.75">
      <c r="A13" s="183" t="s">
        <v>473</v>
      </c>
      <c r="B13" s="695" t="s">
        <v>13</v>
      </c>
      <c r="C13" s="736" t="s">
        <v>13</v>
      </c>
      <c r="D13" s="701">
        <v>0</v>
      </c>
      <c r="E13" s="193">
        <v>39506</v>
      </c>
      <c r="F13" s="194">
        <v>0.1075</v>
      </c>
      <c r="G13" s="756" t="s">
        <v>13</v>
      </c>
      <c r="H13" s="697">
        <f t="shared" si="0"/>
        <v>3.158904109589041</v>
      </c>
      <c r="I13" s="729">
        <f t="shared" si="1"/>
        <v>0</v>
      </c>
      <c r="J13" s="693">
        <f t="shared" si="2"/>
        <v>0</v>
      </c>
      <c r="K13" s="693">
        <f t="shared" si="3"/>
        <v>0</v>
      </c>
      <c r="L13" s="693">
        <f t="shared" si="4"/>
        <v>0</v>
      </c>
      <c r="M13" s="693">
        <f t="shared" si="5"/>
        <v>0</v>
      </c>
      <c r="N13" s="188">
        <f t="shared" si="13"/>
        <v>7</v>
      </c>
      <c r="O13" s="692">
        <f t="shared" si="6"/>
        <v>0</v>
      </c>
      <c r="P13" s="704">
        <f t="shared" si="14"/>
        <v>0</v>
      </c>
      <c r="Q13" s="704">
        <f t="shared" si="15"/>
        <v>0</v>
      </c>
      <c r="R13" s="704">
        <f t="shared" si="16"/>
        <v>0</v>
      </c>
      <c r="S13" s="704">
        <f t="shared" si="17"/>
        <v>0</v>
      </c>
      <c r="T13" s="704">
        <f t="shared" si="18"/>
        <v>0</v>
      </c>
      <c r="U13" s="704">
        <f t="shared" si="19"/>
        <v>0</v>
      </c>
      <c r="V13" s="704">
        <f t="shared" si="20"/>
        <v>0</v>
      </c>
      <c r="W13" s="704">
        <f t="shared" si="21"/>
        <v>0</v>
      </c>
      <c r="X13" s="704">
        <f t="shared" si="22"/>
        <v>0</v>
      </c>
      <c r="Y13" s="704">
        <f t="shared" si="23"/>
        <v>0</v>
      </c>
      <c r="Z13" s="704">
        <f t="shared" si="24"/>
        <v>0</v>
      </c>
      <c r="AA13" s="704">
        <f t="shared" si="25"/>
        <v>0</v>
      </c>
      <c r="AB13" s="704">
        <f t="shared" si="26"/>
        <v>0</v>
      </c>
      <c r="AC13" s="704">
        <f t="shared" si="27"/>
        <v>0</v>
      </c>
      <c r="AD13" s="704">
        <f t="shared" si="28"/>
        <v>0</v>
      </c>
      <c r="AE13" s="704">
        <f t="shared" si="29"/>
        <v>0</v>
      </c>
      <c r="AF13" s="704">
        <f t="shared" si="30"/>
        <v>0</v>
      </c>
      <c r="AG13" s="704">
        <f t="shared" si="31"/>
        <v>0</v>
      </c>
      <c r="AH13" s="704">
        <f t="shared" si="32"/>
        <v>0</v>
      </c>
      <c r="AI13" s="704">
        <f t="shared" si="33"/>
        <v>0</v>
      </c>
      <c r="AJ13" s="704">
        <f t="shared" si="34"/>
        <v>0</v>
      </c>
      <c r="AK13" s="704">
        <f t="shared" si="35"/>
        <v>0</v>
      </c>
      <c r="AL13" s="704">
        <f t="shared" si="36"/>
        <v>0</v>
      </c>
      <c r="AM13" s="704">
        <f t="shared" si="37"/>
        <v>0</v>
      </c>
      <c r="AN13" s="704">
        <f t="shared" si="38"/>
        <v>0</v>
      </c>
      <c r="AO13" s="704">
        <f t="shared" si="39"/>
        <v>0</v>
      </c>
      <c r="AP13" s="704">
        <f t="shared" si="40"/>
        <v>0</v>
      </c>
      <c r="AQ13" s="704">
        <f t="shared" si="41"/>
        <v>0</v>
      </c>
      <c r="AR13" s="704">
        <f t="shared" si="42"/>
        <v>0</v>
      </c>
      <c r="AS13" s="704">
        <f t="shared" si="43"/>
        <v>0</v>
      </c>
      <c r="AT13" s="189" t="e">
        <f>MDURATION([0]!EFFDATE,E13,F13,C13/100,2)</f>
        <v>#NAME?</v>
      </c>
      <c r="AU13" s="190">
        <f>IF(OR(ISERR(AT13),ISERR(#REF!)),0,IF(AT13&lt;=1,1,IF(AT13&gt;3.6,3,2)))</f>
        <v>0</v>
      </c>
      <c r="AV13" s="191">
        <f>IF(AU13=0,0,B13/100*#REF!*AT13*CHOOSE(AU13,0.01,0.0085,0.007))</f>
        <v>0</v>
      </c>
      <c r="AW13" s="192">
        <f t="shared" si="7"/>
        <v>0</v>
      </c>
      <c r="AX13" s="192">
        <f t="shared" si="8"/>
        <v>0</v>
      </c>
      <c r="AY13" s="192">
        <f t="shared" si="9"/>
        <v>0</v>
      </c>
      <c r="AZ13" s="192">
        <f t="shared" si="10"/>
        <v>0</v>
      </c>
      <c r="BA13" s="192">
        <f t="shared" si="11"/>
        <v>0</v>
      </c>
      <c r="BB13" s="192">
        <f t="shared" si="12"/>
        <v>0</v>
      </c>
      <c r="BC13" s="187"/>
      <c r="BD13" s="28">
        <v>1.00000000001</v>
      </c>
      <c r="BE13" s="28">
        <v>1.00000000001</v>
      </c>
      <c r="BF13" s="28">
        <v>2</v>
      </c>
      <c r="BG13" s="740">
        <v>0.0125</v>
      </c>
      <c r="BK13">
        <v>5</v>
      </c>
      <c r="BL13">
        <v>0.0125</v>
      </c>
    </row>
    <row r="14" spans="1:64" ht="12.75">
      <c r="A14" s="183" t="s">
        <v>478</v>
      </c>
      <c r="B14" s="695" t="s">
        <v>13</v>
      </c>
      <c r="C14" s="736" t="s">
        <v>13</v>
      </c>
      <c r="D14" s="701">
        <v>0</v>
      </c>
      <c r="E14" s="193">
        <v>41994</v>
      </c>
      <c r="F14" s="194">
        <v>0.125</v>
      </c>
      <c r="G14" s="756" t="s">
        <v>13</v>
      </c>
      <c r="H14" s="697">
        <f>(+E14-$E$7)/365</f>
        <v>9.975342465753425</v>
      </c>
      <c r="I14" s="729">
        <f t="shared" si="1"/>
        <v>0</v>
      </c>
      <c r="J14" s="693">
        <f t="shared" si="2"/>
        <v>0</v>
      </c>
      <c r="K14" s="693">
        <f t="shared" si="3"/>
        <v>0</v>
      </c>
      <c r="L14" s="693">
        <f t="shared" si="4"/>
        <v>0</v>
      </c>
      <c r="M14" s="693">
        <f t="shared" si="5"/>
        <v>0</v>
      </c>
      <c r="N14" s="188">
        <f t="shared" si="13"/>
        <v>10</v>
      </c>
      <c r="O14" s="692">
        <f t="shared" si="6"/>
        <v>0</v>
      </c>
      <c r="P14" s="704">
        <f t="shared" si="14"/>
        <v>0</v>
      </c>
      <c r="Q14" s="704">
        <f t="shared" si="15"/>
        <v>0</v>
      </c>
      <c r="R14" s="704">
        <f t="shared" si="16"/>
        <v>0</v>
      </c>
      <c r="S14" s="704">
        <f t="shared" si="17"/>
        <v>0</v>
      </c>
      <c r="T14" s="704">
        <f t="shared" si="18"/>
        <v>0</v>
      </c>
      <c r="U14" s="704">
        <f t="shared" si="19"/>
        <v>0</v>
      </c>
      <c r="V14" s="704">
        <f t="shared" si="20"/>
        <v>0</v>
      </c>
      <c r="W14" s="704">
        <f t="shared" si="21"/>
        <v>0</v>
      </c>
      <c r="X14" s="704">
        <f t="shared" si="22"/>
        <v>0</v>
      </c>
      <c r="Y14" s="704">
        <f t="shared" si="23"/>
        <v>0</v>
      </c>
      <c r="Z14" s="704">
        <f t="shared" si="24"/>
        <v>0</v>
      </c>
      <c r="AA14" s="704">
        <f t="shared" si="25"/>
        <v>0</v>
      </c>
      <c r="AB14" s="704">
        <f t="shared" si="26"/>
        <v>0</v>
      </c>
      <c r="AC14" s="704">
        <f t="shared" si="27"/>
        <v>0</v>
      </c>
      <c r="AD14" s="704">
        <f t="shared" si="28"/>
        <v>0</v>
      </c>
      <c r="AE14" s="704">
        <f t="shared" si="29"/>
        <v>0</v>
      </c>
      <c r="AF14" s="704">
        <f t="shared" si="30"/>
        <v>0</v>
      </c>
      <c r="AG14" s="704">
        <f t="shared" si="31"/>
        <v>0</v>
      </c>
      <c r="AH14" s="704">
        <f t="shared" si="32"/>
        <v>0</v>
      </c>
      <c r="AI14" s="704">
        <f t="shared" si="33"/>
        <v>0</v>
      </c>
      <c r="AJ14" s="704">
        <f t="shared" si="34"/>
        <v>0</v>
      </c>
      <c r="AK14" s="704">
        <f t="shared" si="35"/>
        <v>0</v>
      </c>
      <c r="AL14" s="704">
        <f t="shared" si="36"/>
        <v>0</v>
      </c>
      <c r="AM14" s="704">
        <f t="shared" si="37"/>
        <v>0</v>
      </c>
      <c r="AN14" s="704">
        <f t="shared" si="38"/>
        <v>0</v>
      </c>
      <c r="AO14" s="704">
        <f t="shared" si="39"/>
        <v>0</v>
      </c>
      <c r="AP14" s="704">
        <f t="shared" si="40"/>
        <v>0</v>
      </c>
      <c r="AQ14" s="704">
        <f t="shared" si="41"/>
        <v>0</v>
      </c>
      <c r="AR14" s="704">
        <f t="shared" si="42"/>
        <v>0</v>
      </c>
      <c r="AS14" s="704">
        <f t="shared" si="43"/>
        <v>0</v>
      </c>
      <c r="AT14" s="189" t="e">
        <f>MDURATION([0]!EFFDATE,E14,F14,C14/100,2)</f>
        <v>#NAME?</v>
      </c>
      <c r="AU14" s="190">
        <f>IF(OR(ISERR(AT14),ISERR(#REF!)),0,IF(AT14&lt;=1,1,IF(AT14&gt;3.6,3,2)))</f>
        <v>0</v>
      </c>
      <c r="AV14" s="191">
        <f>IF(AU14=0,0,B14/100*#REF!*AT14*CHOOSE(AU14,0.01,0.0085,0.007))</f>
        <v>0</v>
      </c>
      <c r="AW14" s="192">
        <f t="shared" si="7"/>
        <v>0</v>
      </c>
      <c r="AX14" s="192">
        <f t="shared" si="8"/>
        <v>0</v>
      </c>
      <c r="AY14" s="192">
        <f t="shared" si="9"/>
        <v>0</v>
      </c>
      <c r="AZ14" s="192">
        <f t="shared" si="10"/>
        <v>0</v>
      </c>
      <c r="BA14" s="192">
        <f t="shared" si="11"/>
        <v>0</v>
      </c>
      <c r="BB14" s="192">
        <f t="shared" si="12"/>
        <v>0</v>
      </c>
      <c r="BC14" s="187"/>
      <c r="BD14" s="28">
        <v>2.00000000001</v>
      </c>
      <c r="BE14" s="28">
        <v>1.90000000001</v>
      </c>
      <c r="BF14" s="28">
        <v>2</v>
      </c>
      <c r="BG14" s="740">
        <v>0.0175</v>
      </c>
      <c r="BK14">
        <v>6</v>
      </c>
      <c r="BL14">
        <v>0.0175</v>
      </c>
    </row>
    <row r="15" spans="1:64" ht="12.75">
      <c r="A15" s="183" t="s">
        <v>475</v>
      </c>
      <c r="B15" s="695" t="s">
        <v>13</v>
      </c>
      <c r="C15" s="736" t="s">
        <v>13</v>
      </c>
      <c r="D15" s="755">
        <v>0</v>
      </c>
      <c r="E15" s="193">
        <v>42993</v>
      </c>
      <c r="F15" s="185">
        <v>0.09</v>
      </c>
      <c r="G15" s="756" t="s">
        <v>13</v>
      </c>
      <c r="H15" s="697">
        <f aca="true" t="shared" si="44" ref="H15:H23">(+E15-$E$7)/365</f>
        <v>12.712328767123287</v>
      </c>
      <c r="I15" s="729">
        <f t="shared" si="1"/>
        <v>0</v>
      </c>
      <c r="J15" s="693">
        <f t="shared" si="2"/>
        <v>0</v>
      </c>
      <c r="K15" s="693">
        <f t="shared" si="3"/>
        <v>0</v>
      </c>
      <c r="L15" s="693">
        <f t="shared" si="4"/>
        <v>0</v>
      </c>
      <c r="M15" s="693">
        <f t="shared" si="5"/>
        <v>0</v>
      </c>
      <c r="N15" s="188">
        <f t="shared" si="13"/>
        <v>11</v>
      </c>
      <c r="O15" s="692">
        <f t="shared" si="6"/>
        <v>0</v>
      </c>
      <c r="P15" s="704">
        <f t="shared" si="14"/>
        <v>0</v>
      </c>
      <c r="Q15" s="704">
        <f t="shared" si="15"/>
        <v>0</v>
      </c>
      <c r="R15" s="704">
        <f t="shared" si="16"/>
        <v>0</v>
      </c>
      <c r="S15" s="704">
        <f t="shared" si="17"/>
        <v>0</v>
      </c>
      <c r="T15" s="704">
        <f t="shared" si="18"/>
        <v>0</v>
      </c>
      <c r="U15" s="704">
        <f t="shared" si="19"/>
        <v>0</v>
      </c>
      <c r="V15" s="704">
        <f t="shared" si="20"/>
        <v>0</v>
      </c>
      <c r="W15" s="704">
        <f t="shared" si="21"/>
        <v>0</v>
      </c>
      <c r="X15" s="704">
        <f t="shared" si="22"/>
        <v>0</v>
      </c>
      <c r="Y15" s="704">
        <f t="shared" si="23"/>
        <v>0</v>
      </c>
      <c r="Z15" s="704">
        <f t="shared" si="24"/>
        <v>0</v>
      </c>
      <c r="AA15" s="704">
        <f t="shared" si="25"/>
        <v>0</v>
      </c>
      <c r="AB15" s="704">
        <f t="shared" si="26"/>
        <v>0</v>
      </c>
      <c r="AC15" s="704">
        <f t="shared" si="27"/>
        <v>0</v>
      </c>
      <c r="AD15" s="704">
        <f t="shared" si="28"/>
        <v>0</v>
      </c>
      <c r="AE15" s="704">
        <f t="shared" si="29"/>
        <v>0</v>
      </c>
      <c r="AF15" s="704">
        <f t="shared" si="30"/>
        <v>0</v>
      </c>
      <c r="AG15" s="704">
        <f t="shared" si="31"/>
        <v>0</v>
      </c>
      <c r="AH15" s="704">
        <f t="shared" si="32"/>
        <v>0</v>
      </c>
      <c r="AI15" s="704">
        <f t="shared" si="33"/>
        <v>0</v>
      </c>
      <c r="AJ15" s="704">
        <f t="shared" si="34"/>
        <v>0</v>
      </c>
      <c r="AK15" s="704">
        <f t="shared" si="35"/>
        <v>0</v>
      </c>
      <c r="AL15" s="704">
        <f t="shared" si="36"/>
        <v>0</v>
      </c>
      <c r="AM15" s="704">
        <f t="shared" si="37"/>
        <v>0</v>
      </c>
      <c r="AN15" s="704">
        <f t="shared" si="38"/>
        <v>0</v>
      </c>
      <c r="AO15" s="704">
        <f t="shared" si="39"/>
        <v>0</v>
      </c>
      <c r="AP15" s="704">
        <f t="shared" si="40"/>
        <v>0</v>
      </c>
      <c r="AQ15" s="704">
        <f t="shared" si="41"/>
        <v>0</v>
      </c>
      <c r="AR15" s="704">
        <f t="shared" si="42"/>
        <v>0</v>
      </c>
      <c r="AS15" s="704">
        <f t="shared" si="43"/>
        <v>0</v>
      </c>
      <c r="AT15" s="189" t="e">
        <f>MDURATION([0]!EFFDATE,E15,F15,C15/100,2)</f>
        <v>#NAME?</v>
      </c>
      <c r="AU15" s="190">
        <f>IF(OR(ISERR(AT15),ISERR(#REF!)),0,IF(AT15&lt;=1,1,IF(AT15&gt;3.6,3,2)))</f>
        <v>0</v>
      </c>
      <c r="AV15" s="191">
        <f>IF(AU15=0,0,B15/100*#REF!*AT15*CHOOSE(AU15,0.01,0.0085,0.007))</f>
        <v>0</v>
      </c>
      <c r="AW15" s="192">
        <f t="shared" si="7"/>
        <v>0</v>
      </c>
      <c r="AX15" s="192">
        <f t="shared" si="8"/>
        <v>0</v>
      </c>
      <c r="AY15" s="192">
        <f t="shared" si="9"/>
        <v>0</v>
      </c>
      <c r="AZ15" s="192">
        <f t="shared" si="10"/>
        <v>0</v>
      </c>
      <c r="BA15" s="192">
        <f t="shared" si="11"/>
        <v>0</v>
      </c>
      <c r="BB15" s="192">
        <f t="shared" si="12"/>
        <v>0</v>
      </c>
      <c r="BC15" s="187"/>
      <c r="BD15" s="28">
        <v>3.00000000001</v>
      </c>
      <c r="BE15" s="28">
        <v>2.80000000001</v>
      </c>
      <c r="BF15" s="28">
        <v>2</v>
      </c>
      <c r="BG15" s="740">
        <v>0.0225</v>
      </c>
      <c r="BK15">
        <v>7</v>
      </c>
      <c r="BL15">
        <v>0.0225</v>
      </c>
    </row>
    <row r="16" spans="1:64" ht="12.75">
      <c r="A16" s="183">
        <v>0</v>
      </c>
      <c r="B16" s="695" t="s">
        <v>13</v>
      </c>
      <c r="C16" s="736" t="s">
        <v>13</v>
      </c>
      <c r="D16" s="701">
        <v>0</v>
      </c>
      <c r="E16" s="193">
        <v>39217</v>
      </c>
      <c r="F16" s="194">
        <v>0.095</v>
      </c>
      <c r="G16" s="756" t="s">
        <v>13</v>
      </c>
      <c r="H16" s="697">
        <f t="shared" si="44"/>
        <v>2.367123287671233</v>
      </c>
      <c r="I16" s="729">
        <f t="shared" si="1"/>
        <v>0</v>
      </c>
      <c r="J16" s="693">
        <f t="shared" si="2"/>
        <v>0</v>
      </c>
      <c r="K16" s="693">
        <f t="shared" si="3"/>
        <v>0</v>
      </c>
      <c r="L16" s="693">
        <f t="shared" si="4"/>
        <v>0</v>
      </c>
      <c r="M16" s="693">
        <f t="shared" si="5"/>
        <v>0</v>
      </c>
      <c r="N16" s="188">
        <f t="shared" si="13"/>
        <v>6</v>
      </c>
      <c r="O16" s="692">
        <f t="shared" si="6"/>
        <v>0</v>
      </c>
      <c r="P16" s="704">
        <f t="shared" si="14"/>
        <v>0</v>
      </c>
      <c r="Q16" s="704">
        <f t="shared" si="15"/>
        <v>0</v>
      </c>
      <c r="R16" s="704">
        <f t="shared" si="16"/>
        <v>0</v>
      </c>
      <c r="S16" s="704">
        <f t="shared" si="17"/>
        <v>0</v>
      </c>
      <c r="T16" s="704">
        <f t="shared" si="18"/>
        <v>0</v>
      </c>
      <c r="U16" s="704">
        <f t="shared" si="19"/>
        <v>0</v>
      </c>
      <c r="V16" s="704">
        <f t="shared" si="20"/>
        <v>0</v>
      </c>
      <c r="W16" s="704">
        <f t="shared" si="21"/>
        <v>0</v>
      </c>
      <c r="X16" s="704">
        <f t="shared" si="22"/>
        <v>0</v>
      </c>
      <c r="Y16" s="704">
        <f t="shared" si="23"/>
        <v>0</v>
      </c>
      <c r="Z16" s="704">
        <f t="shared" si="24"/>
        <v>0</v>
      </c>
      <c r="AA16" s="704">
        <f t="shared" si="25"/>
        <v>0</v>
      </c>
      <c r="AB16" s="704">
        <f t="shared" si="26"/>
        <v>0</v>
      </c>
      <c r="AC16" s="704">
        <f t="shared" si="27"/>
        <v>0</v>
      </c>
      <c r="AD16" s="704">
        <f t="shared" si="28"/>
        <v>0</v>
      </c>
      <c r="AE16" s="704">
        <f t="shared" si="29"/>
        <v>0</v>
      </c>
      <c r="AF16" s="704">
        <f t="shared" si="30"/>
        <v>0</v>
      </c>
      <c r="AG16" s="704">
        <f t="shared" si="31"/>
        <v>0</v>
      </c>
      <c r="AH16" s="704">
        <f t="shared" si="32"/>
        <v>0</v>
      </c>
      <c r="AI16" s="704">
        <f t="shared" si="33"/>
        <v>0</v>
      </c>
      <c r="AJ16" s="704">
        <f t="shared" si="34"/>
        <v>0</v>
      </c>
      <c r="AK16" s="704">
        <f t="shared" si="35"/>
        <v>0</v>
      </c>
      <c r="AL16" s="704">
        <f t="shared" si="36"/>
        <v>0</v>
      </c>
      <c r="AM16" s="704">
        <f t="shared" si="37"/>
        <v>0</v>
      </c>
      <c r="AN16" s="704">
        <f t="shared" si="38"/>
        <v>0</v>
      </c>
      <c r="AO16" s="704">
        <f t="shared" si="39"/>
        <v>0</v>
      </c>
      <c r="AP16" s="704">
        <f t="shared" si="40"/>
        <v>0</v>
      </c>
      <c r="AQ16" s="704">
        <f t="shared" si="41"/>
        <v>0</v>
      </c>
      <c r="AR16" s="704">
        <f t="shared" si="42"/>
        <v>0</v>
      </c>
      <c r="AS16" s="704">
        <f t="shared" si="43"/>
        <v>0</v>
      </c>
      <c r="AT16" s="189" t="e">
        <f>MDURATION([0]!EFFDATE,E16,F16,C16/100,2)</f>
        <v>#NAME?</v>
      </c>
      <c r="AU16" s="190">
        <f>IF(OR(ISERR(AT16),ISERR(#REF!)),0,IF(AT16&lt;=1,1,IF(AT16&gt;3.6,3,2)))</f>
        <v>0</v>
      </c>
      <c r="AV16" s="191">
        <f>IF(AU16=0,0,B16/100*#REF!*AT16*CHOOSE(AU16,0.01,0.0085,0.007))</f>
        <v>0</v>
      </c>
      <c r="AW16" s="192">
        <f t="shared" si="7"/>
        <v>0</v>
      </c>
      <c r="AX16" s="192">
        <f t="shared" si="8"/>
        <v>0</v>
      </c>
      <c r="AY16" s="192">
        <f t="shared" si="9"/>
        <v>0</v>
      </c>
      <c r="AZ16" s="192">
        <f t="shared" si="10"/>
        <v>0</v>
      </c>
      <c r="BA16" s="192">
        <f t="shared" si="11"/>
        <v>0</v>
      </c>
      <c r="BB16" s="192">
        <f t="shared" si="12"/>
        <v>0</v>
      </c>
      <c r="BC16" s="187"/>
      <c r="BD16" s="28">
        <v>4.00000000001</v>
      </c>
      <c r="BE16" s="28">
        <v>3.60000000001</v>
      </c>
      <c r="BF16" s="28">
        <v>3</v>
      </c>
      <c r="BG16" s="740">
        <v>0.0275</v>
      </c>
      <c r="BK16">
        <v>8</v>
      </c>
      <c r="BL16">
        <v>0.0275</v>
      </c>
    </row>
    <row r="17" spans="1:64" ht="12.75">
      <c r="A17" s="183">
        <v>0</v>
      </c>
      <c r="B17" s="695" t="s">
        <v>13</v>
      </c>
      <c r="C17" s="736" t="s">
        <v>13</v>
      </c>
      <c r="D17" s="701">
        <v>0</v>
      </c>
      <c r="E17" s="193">
        <v>40421</v>
      </c>
      <c r="F17" s="185">
        <v>0.11</v>
      </c>
      <c r="G17" s="756" t="s">
        <v>13</v>
      </c>
      <c r="H17" s="697">
        <f t="shared" si="44"/>
        <v>5.6657534246575345</v>
      </c>
      <c r="I17" s="729">
        <f>IF(G17=1,(#REF!),0)</f>
        <v>0</v>
      </c>
      <c r="J17" s="693">
        <f>IF(AND($G17=2,$H17&lt;0.5),ABS(#REF!),0)</f>
        <v>0</v>
      </c>
      <c r="K17" s="693">
        <f>IF(AND($G17=2,$H17&gt;=0.5,$H17&lt;=2),ABS(#REF!),0)</f>
        <v>0</v>
      </c>
      <c r="L17" s="693">
        <f>IF(AND($G17=2,$H17&gt;2),ABS(#REF!),0)</f>
        <v>0</v>
      </c>
      <c r="M17" s="693">
        <f>IF(G17=3,ABS(#REF!),0)</f>
        <v>0</v>
      </c>
      <c r="N17" s="188">
        <f t="shared" si="13"/>
        <v>9</v>
      </c>
      <c r="O17" s="692">
        <f t="shared" si="6"/>
        <v>0</v>
      </c>
      <c r="P17" s="704">
        <f t="shared" si="14"/>
        <v>0</v>
      </c>
      <c r="Q17" s="704">
        <f t="shared" si="15"/>
        <v>0</v>
      </c>
      <c r="R17" s="704">
        <f t="shared" si="16"/>
        <v>0</v>
      </c>
      <c r="S17" s="704">
        <f t="shared" si="17"/>
        <v>0</v>
      </c>
      <c r="T17" s="704">
        <f t="shared" si="18"/>
        <v>0</v>
      </c>
      <c r="U17" s="704">
        <f t="shared" si="19"/>
        <v>0</v>
      </c>
      <c r="V17" s="704">
        <f t="shared" si="20"/>
        <v>0</v>
      </c>
      <c r="W17" s="704">
        <f t="shared" si="21"/>
        <v>0</v>
      </c>
      <c r="X17" s="704">
        <f t="shared" si="22"/>
        <v>0</v>
      </c>
      <c r="Y17" s="704">
        <f t="shared" si="23"/>
        <v>0</v>
      </c>
      <c r="Z17" s="704">
        <f t="shared" si="24"/>
        <v>0</v>
      </c>
      <c r="AA17" s="704">
        <f t="shared" si="25"/>
        <v>0</v>
      </c>
      <c r="AB17" s="704">
        <f t="shared" si="26"/>
        <v>0</v>
      </c>
      <c r="AC17" s="704">
        <f t="shared" si="27"/>
        <v>0</v>
      </c>
      <c r="AD17" s="704">
        <f t="shared" si="28"/>
        <v>0</v>
      </c>
      <c r="AE17" s="704">
        <f t="shared" si="29"/>
        <v>0</v>
      </c>
      <c r="AF17" s="704">
        <f t="shared" si="30"/>
        <v>0</v>
      </c>
      <c r="AG17" s="704">
        <f t="shared" si="31"/>
        <v>0</v>
      </c>
      <c r="AH17" s="704">
        <f t="shared" si="32"/>
        <v>0</v>
      </c>
      <c r="AI17" s="704">
        <f t="shared" si="33"/>
        <v>0</v>
      </c>
      <c r="AJ17" s="704">
        <f t="shared" si="34"/>
        <v>0</v>
      </c>
      <c r="AK17" s="704">
        <f t="shared" si="35"/>
        <v>0</v>
      </c>
      <c r="AL17" s="704">
        <f t="shared" si="36"/>
        <v>0</v>
      </c>
      <c r="AM17" s="704">
        <f t="shared" si="37"/>
        <v>0</v>
      </c>
      <c r="AN17" s="704">
        <f t="shared" si="38"/>
        <v>0</v>
      </c>
      <c r="AO17" s="704">
        <f t="shared" si="39"/>
        <v>0</v>
      </c>
      <c r="AP17" s="704">
        <f t="shared" si="40"/>
        <v>0</v>
      </c>
      <c r="AQ17" s="704">
        <f t="shared" si="41"/>
        <v>0</v>
      </c>
      <c r="AR17" s="704">
        <f t="shared" si="42"/>
        <v>0</v>
      </c>
      <c r="AS17" s="704">
        <f t="shared" si="43"/>
        <v>0</v>
      </c>
      <c r="AT17" s="189" t="e">
        <f>MDURATION([0]!EFFDATE,E17,F17,D17/100,2)</f>
        <v>#NAME?</v>
      </c>
      <c r="AU17" s="190">
        <f>IF(OR(ISERR(AT17),ISERR(#REF!)),0,IF(AT17&lt;=1,1,IF(AT17&gt;3.6,3,2)))</f>
        <v>0</v>
      </c>
      <c r="AV17" s="191">
        <f>IF(AU17=0,0,B17/100*#REF!*AT17*CHOOSE(AU17,0.01,0.0085,0.007))</f>
        <v>0</v>
      </c>
      <c r="AW17" s="192">
        <f t="shared" si="7"/>
        <v>0</v>
      </c>
      <c r="AX17" s="192">
        <f t="shared" si="8"/>
        <v>0</v>
      </c>
      <c r="AY17" s="192">
        <f t="shared" si="9"/>
        <v>0</v>
      </c>
      <c r="AZ17" s="192">
        <f t="shared" si="10"/>
        <v>0</v>
      </c>
      <c r="BA17" s="192">
        <f t="shared" si="11"/>
        <v>0</v>
      </c>
      <c r="BB17" s="192">
        <f t="shared" si="12"/>
        <v>0</v>
      </c>
      <c r="BC17" s="187"/>
      <c r="BD17" s="28">
        <v>5.00000000001</v>
      </c>
      <c r="BE17" s="28">
        <v>4.30000000001</v>
      </c>
      <c r="BF17" s="28">
        <v>3</v>
      </c>
      <c r="BG17" s="740">
        <v>0.0325</v>
      </c>
      <c r="BK17">
        <v>9</v>
      </c>
      <c r="BL17">
        <v>0.0325</v>
      </c>
    </row>
    <row r="18" spans="1:64" ht="12.75">
      <c r="A18" s="183">
        <v>0</v>
      </c>
      <c r="B18" s="695" t="s">
        <v>13</v>
      </c>
      <c r="C18" s="736" t="s">
        <v>13</v>
      </c>
      <c r="D18" s="701">
        <v>0</v>
      </c>
      <c r="E18" s="193">
        <v>40421</v>
      </c>
      <c r="F18" s="185">
        <v>0.15</v>
      </c>
      <c r="G18" s="756" t="s">
        <v>13</v>
      </c>
      <c r="H18" s="697">
        <f t="shared" si="44"/>
        <v>5.6657534246575345</v>
      </c>
      <c r="I18" s="729">
        <f>IF(G18=1,(#REF!),0)</f>
        <v>0</v>
      </c>
      <c r="J18" s="693">
        <f>IF(AND($G18=2,$H18&lt;0.5),ABS(#REF!),0)</f>
        <v>0</v>
      </c>
      <c r="K18" s="693">
        <f>IF(AND($G18=2,$H18&gt;=0.5,$H18&lt;=2),ABS(#REF!),0)</f>
        <v>0</v>
      </c>
      <c r="L18" s="693">
        <f>IF(AND($G18=2,$H18&gt;2),ABS(#REF!),0)</f>
        <v>0</v>
      </c>
      <c r="M18" s="693">
        <f>IF(G18=3,ABS(#REF!),0)</f>
        <v>0</v>
      </c>
      <c r="N18" s="188">
        <f t="shared" si="13"/>
        <v>9</v>
      </c>
      <c r="O18" s="692">
        <f t="shared" si="6"/>
        <v>0</v>
      </c>
      <c r="P18" s="704">
        <f t="shared" si="14"/>
        <v>0</v>
      </c>
      <c r="Q18" s="704">
        <f t="shared" si="15"/>
        <v>0</v>
      </c>
      <c r="R18" s="704">
        <f t="shared" si="16"/>
        <v>0</v>
      </c>
      <c r="S18" s="704">
        <f t="shared" si="17"/>
        <v>0</v>
      </c>
      <c r="T18" s="704">
        <f t="shared" si="18"/>
        <v>0</v>
      </c>
      <c r="U18" s="704">
        <f t="shared" si="19"/>
        <v>0</v>
      </c>
      <c r="V18" s="704">
        <f t="shared" si="20"/>
        <v>0</v>
      </c>
      <c r="W18" s="704">
        <f t="shared" si="21"/>
        <v>0</v>
      </c>
      <c r="X18" s="704">
        <f t="shared" si="22"/>
        <v>0</v>
      </c>
      <c r="Y18" s="704">
        <f t="shared" si="23"/>
        <v>0</v>
      </c>
      <c r="Z18" s="704">
        <f t="shared" si="24"/>
        <v>0</v>
      </c>
      <c r="AA18" s="704">
        <f t="shared" si="25"/>
        <v>0</v>
      </c>
      <c r="AB18" s="704">
        <f t="shared" si="26"/>
        <v>0</v>
      </c>
      <c r="AC18" s="704">
        <f t="shared" si="27"/>
        <v>0</v>
      </c>
      <c r="AD18" s="704">
        <f t="shared" si="28"/>
        <v>0</v>
      </c>
      <c r="AE18" s="704">
        <f t="shared" si="29"/>
        <v>0</v>
      </c>
      <c r="AF18" s="704">
        <f t="shared" si="30"/>
        <v>0</v>
      </c>
      <c r="AG18" s="704">
        <f t="shared" si="31"/>
        <v>0</v>
      </c>
      <c r="AH18" s="704">
        <f t="shared" si="32"/>
        <v>0</v>
      </c>
      <c r="AI18" s="704">
        <f t="shared" si="33"/>
        <v>0</v>
      </c>
      <c r="AJ18" s="704">
        <f t="shared" si="34"/>
        <v>0</v>
      </c>
      <c r="AK18" s="704">
        <f t="shared" si="35"/>
        <v>0</v>
      </c>
      <c r="AL18" s="704">
        <f t="shared" si="36"/>
        <v>0</v>
      </c>
      <c r="AM18" s="704">
        <f t="shared" si="37"/>
        <v>0</v>
      </c>
      <c r="AN18" s="704">
        <f t="shared" si="38"/>
        <v>0</v>
      </c>
      <c r="AO18" s="704">
        <f t="shared" si="39"/>
        <v>0</v>
      </c>
      <c r="AP18" s="704">
        <f t="shared" si="40"/>
        <v>0</v>
      </c>
      <c r="AQ18" s="704">
        <f t="shared" si="41"/>
        <v>0</v>
      </c>
      <c r="AR18" s="704">
        <f t="shared" si="42"/>
        <v>0</v>
      </c>
      <c r="AS18" s="704">
        <f t="shared" si="43"/>
        <v>0</v>
      </c>
      <c r="AT18" s="189" t="e">
        <f>MDURATION([0]!EFFDATE,E18,F18,D18/100,2)</f>
        <v>#NAME?</v>
      </c>
      <c r="AU18" s="190">
        <f>IF(OR(ISERR(AT18),ISERR(#REF!)),0,IF(AT18&lt;=1,1,IF(AT18&gt;3.6,3,2)))</f>
        <v>0</v>
      </c>
      <c r="AV18" s="191">
        <f>IF(AU18=0,0,B18/100*#REF!*AT18*CHOOSE(AU18,0.01,0.0085,0.007))</f>
        <v>0</v>
      </c>
      <c r="AW18" s="192">
        <f t="shared" si="7"/>
        <v>0</v>
      </c>
      <c r="AX18" s="192">
        <f t="shared" si="8"/>
        <v>0</v>
      </c>
      <c r="AY18" s="192">
        <f t="shared" si="9"/>
        <v>0</v>
      </c>
      <c r="AZ18" s="192">
        <f t="shared" si="10"/>
        <v>0</v>
      </c>
      <c r="BA18" s="192">
        <f t="shared" si="11"/>
        <v>0</v>
      </c>
      <c r="BB18" s="192">
        <f t="shared" si="12"/>
        <v>0</v>
      </c>
      <c r="BC18" s="187"/>
      <c r="BD18" s="28">
        <v>7.00000000001</v>
      </c>
      <c r="BE18" s="28">
        <v>5.70000000001</v>
      </c>
      <c r="BF18" s="28">
        <v>3</v>
      </c>
      <c r="BG18" s="740">
        <v>0.0375</v>
      </c>
      <c r="BK18">
        <v>10</v>
      </c>
      <c r="BL18">
        <v>0.0375</v>
      </c>
    </row>
    <row r="19" spans="1:64" ht="12.75">
      <c r="A19" s="183">
        <v>0</v>
      </c>
      <c r="B19" s="695" t="s">
        <v>13</v>
      </c>
      <c r="C19" s="736" t="s">
        <v>13</v>
      </c>
      <c r="D19" s="701">
        <v>0</v>
      </c>
      <c r="E19" s="696">
        <v>38592</v>
      </c>
      <c r="F19" s="194">
        <v>0.135</v>
      </c>
      <c r="G19" s="756" t="s">
        <v>13</v>
      </c>
      <c r="H19" s="697">
        <f t="shared" si="44"/>
        <v>0.6547945205479452</v>
      </c>
      <c r="I19" s="729">
        <f>IF(G19=1,(#REF!),0)</f>
        <v>0</v>
      </c>
      <c r="J19" s="693">
        <f>IF(AND($G19=2,$H19&lt;0.5),ABS(#REF!),0)</f>
        <v>0</v>
      </c>
      <c r="K19" s="693">
        <f>IF(AND($G19=2,$H19&gt;=0.5,$H19&lt;=2),ABS(#REF!),0)</f>
        <v>0</v>
      </c>
      <c r="L19" s="693">
        <f>IF(AND($G19=2,$H19&gt;2),ABS(#REF!),0)</f>
        <v>0</v>
      </c>
      <c r="M19" s="693">
        <f>IF(G19=3,ABS(#REF!),0)</f>
        <v>0</v>
      </c>
      <c r="N19" s="188">
        <f t="shared" si="13"/>
        <v>4</v>
      </c>
      <c r="O19" s="692">
        <f t="shared" si="6"/>
        <v>0</v>
      </c>
      <c r="P19" s="704">
        <f t="shared" si="14"/>
        <v>0</v>
      </c>
      <c r="Q19" s="704">
        <f t="shared" si="15"/>
        <v>0</v>
      </c>
      <c r="R19" s="704">
        <f t="shared" si="16"/>
        <v>0</v>
      </c>
      <c r="S19" s="704">
        <f t="shared" si="17"/>
        <v>0</v>
      </c>
      <c r="T19" s="704">
        <f t="shared" si="18"/>
        <v>0</v>
      </c>
      <c r="U19" s="704">
        <f t="shared" si="19"/>
        <v>0</v>
      </c>
      <c r="V19" s="704">
        <f t="shared" si="20"/>
        <v>0</v>
      </c>
      <c r="W19" s="704">
        <f t="shared" si="21"/>
        <v>0</v>
      </c>
      <c r="X19" s="704">
        <f t="shared" si="22"/>
        <v>0</v>
      </c>
      <c r="Y19" s="704">
        <f t="shared" si="23"/>
        <v>0</v>
      </c>
      <c r="Z19" s="704">
        <f t="shared" si="24"/>
        <v>0</v>
      </c>
      <c r="AA19" s="704">
        <f t="shared" si="25"/>
        <v>0</v>
      </c>
      <c r="AB19" s="704">
        <f t="shared" si="26"/>
        <v>0</v>
      </c>
      <c r="AC19" s="704">
        <f t="shared" si="27"/>
        <v>0</v>
      </c>
      <c r="AD19" s="704">
        <f t="shared" si="28"/>
        <v>0</v>
      </c>
      <c r="AE19" s="704">
        <f t="shared" si="29"/>
        <v>0</v>
      </c>
      <c r="AF19" s="704">
        <f t="shared" si="30"/>
        <v>0</v>
      </c>
      <c r="AG19" s="704">
        <f t="shared" si="31"/>
        <v>0</v>
      </c>
      <c r="AH19" s="704">
        <f t="shared" si="32"/>
        <v>0</v>
      </c>
      <c r="AI19" s="704">
        <f t="shared" si="33"/>
        <v>0</v>
      </c>
      <c r="AJ19" s="704">
        <f t="shared" si="34"/>
        <v>0</v>
      </c>
      <c r="AK19" s="704">
        <f t="shared" si="35"/>
        <v>0</v>
      </c>
      <c r="AL19" s="704">
        <f t="shared" si="36"/>
        <v>0</v>
      </c>
      <c r="AM19" s="704">
        <f t="shared" si="37"/>
        <v>0</v>
      </c>
      <c r="AN19" s="704">
        <f t="shared" si="38"/>
        <v>0</v>
      </c>
      <c r="AO19" s="704">
        <f t="shared" si="39"/>
        <v>0</v>
      </c>
      <c r="AP19" s="704">
        <f t="shared" si="40"/>
        <v>0</v>
      </c>
      <c r="AQ19" s="704">
        <f t="shared" si="41"/>
        <v>0</v>
      </c>
      <c r="AR19" s="704">
        <f t="shared" si="42"/>
        <v>0</v>
      </c>
      <c r="AS19" s="704">
        <f t="shared" si="43"/>
        <v>0</v>
      </c>
      <c r="AT19" s="189" t="e">
        <f>MDURATION([0]!EFFDATE,E19,F19,D19/100,2)</f>
        <v>#NAME?</v>
      </c>
      <c r="AU19" s="190">
        <f>IF(OR(ISERR(AT19),ISERR(#REF!)),0,IF(AT19&lt;=1,1,IF(AT19&gt;3.6,3,2)))</f>
        <v>0</v>
      </c>
      <c r="AV19" s="191">
        <f>IF(AU19=0,0,B19/100*#REF!*AT19*CHOOSE(AU19,0.01,0.0085,0.007))</f>
        <v>0</v>
      </c>
      <c r="AW19" s="192">
        <f t="shared" si="7"/>
        <v>0</v>
      </c>
      <c r="AX19" s="192">
        <f t="shared" si="8"/>
        <v>0</v>
      </c>
      <c r="AY19" s="192">
        <f t="shared" si="9"/>
        <v>0</v>
      </c>
      <c r="AZ19" s="192">
        <f t="shared" si="10"/>
        <v>0</v>
      </c>
      <c r="BA19" s="192">
        <f t="shared" si="11"/>
        <v>0</v>
      </c>
      <c r="BB19" s="192">
        <f t="shared" si="12"/>
        <v>0</v>
      </c>
      <c r="BC19" s="187"/>
      <c r="BD19" s="28">
        <v>10.00000000001</v>
      </c>
      <c r="BE19" s="28">
        <v>7.30000000001</v>
      </c>
      <c r="BF19" s="28">
        <v>3</v>
      </c>
      <c r="BG19" s="740">
        <v>0.045</v>
      </c>
      <c r="BK19">
        <v>11</v>
      </c>
      <c r="BL19">
        <v>0.045</v>
      </c>
    </row>
    <row r="20" spans="1:64" ht="12.75">
      <c r="A20" s="183">
        <v>0</v>
      </c>
      <c r="B20" s="695" t="s">
        <v>13</v>
      </c>
      <c r="C20" s="736" t="s">
        <v>13</v>
      </c>
      <c r="D20" s="701">
        <v>0</v>
      </c>
      <c r="E20" s="193">
        <v>39141</v>
      </c>
      <c r="F20" s="185">
        <v>0.08</v>
      </c>
      <c r="G20" s="756" t="s">
        <v>13</v>
      </c>
      <c r="H20" s="697">
        <f t="shared" si="44"/>
        <v>2.158904109589041</v>
      </c>
      <c r="I20" s="729">
        <f>IF(G20=1,(#REF!),0)</f>
        <v>0</v>
      </c>
      <c r="J20" s="693">
        <f>IF(AND($G20=2,$H20&lt;0.5),ABS(#REF!),0)</f>
        <v>0</v>
      </c>
      <c r="K20" s="693">
        <f>IF(AND($G20=2,$H20&gt;=0.5,$H20&lt;=2),ABS(#REF!),0)</f>
        <v>0</v>
      </c>
      <c r="L20" s="693">
        <f>IF(AND($G20=2,$H20&gt;2),ABS(#REF!),0)</f>
        <v>0</v>
      </c>
      <c r="M20" s="693">
        <f>IF(G20=3,ABS(#REF!),0)</f>
        <v>0</v>
      </c>
      <c r="N20" s="188">
        <f t="shared" si="13"/>
        <v>6</v>
      </c>
      <c r="O20" s="692">
        <f t="shared" si="6"/>
        <v>0</v>
      </c>
      <c r="P20" s="704">
        <f t="shared" si="14"/>
        <v>0</v>
      </c>
      <c r="Q20" s="704">
        <f t="shared" si="15"/>
        <v>0</v>
      </c>
      <c r="R20" s="704">
        <f t="shared" si="16"/>
        <v>0</v>
      </c>
      <c r="S20" s="704">
        <f t="shared" si="17"/>
        <v>0</v>
      </c>
      <c r="T20" s="704">
        <f t="shared" si="18"/>
        <v>0</v>
      </c>
      <c r="U20" s="704">
        <f t="shared" si="19"/>
        <v>0</v>
      </c>
      <c r="V20" s="704">
        <f t="shared" si="20"/>
        <v>0</v>
      </c>
      <c r="W20" s="704">
        <f t="shared" si="21"/>
        <v>0</v>
      </c>
      <c r="X20" s="704">
        <f t="shared" si="22"/>
        <v>0</v>
      </c>
      <c r="Y20" s="704">
        <f t="shared" si="23"/>
        <v>0</v>
      </c>
      <c r="Z20" s="704">
        <f t="shared" si="24"/>
        <v>0</v>
      </c>
      <c r="AA20" s="704">
        <f t="shared" si="25"/>
        <v>0</v>
      </c>
      <c r="AB20" s="704">
        <f t="shared" si="26"/>
        <v>0</v>
      </c>
      <c r="AC20" s="704">
        <f t="shared" si="27"/>
        <v>0</v>
      </c>
      <c r="AD20" s="704">
        <f t="shared" si="28"/>
        <v>0</v>
      </c>
      <c r="AE20" s="704">
        <f t="shared" si="29"/>
        <v>0</v>
      </c>
      <c r="AF20" s="704">
        <f t="shared" si="30"/>
        <v>0</v>
      </c>
      <c r="AG20" s="704">
        <f t="shared" si="31"/>
        <v>0</v>
      </c>
      <c r="AH20" s="704">
        <f t="shared" si="32"/>
        <v>0</v>
      </c>
      <c r="AI20" s="704">
        <f t="shared" si="33"/>
        <v>0</v>
      </c>
      <c r="AJ20" s="704">
        <f t="shared" si="34"/>
        <v>0</v>
      </c>
      <c r="AK20" s="704">
        <f t="shared" si="35"/>
        <v>0</v>
      </c>
      <c r="AL20" s="704">
        <f t="shared" si="36"/>
        <v>0</v>
      </c>
      <c r="AM20" s="704">
        <f t="shared" si="37"/>
        <v>0</v>
      </c>
      <c r="AN20" s="704">
        <f t="shared" si="38"/>
        <v>0</v>
      </c>
      <c r="AO20" s="704">
        <f t="shared" si="39"/>
        <v>0</v>
      </c>
      <c r="AP20" s="704">
        <f t="shared" si="40"/>
        <v>0</v>
      </c>
      <c r="AQ20" s="704">
        <f t="shared" si="41"/>
        <v>0</v>
      </c>
      <c r="AR20" s="704">
        <f t="shared" si="42"/>
        <v>0</v>
      </c>
      <c r="AS20" s="704">
        <f t="shared" si="43"/>
        <v>0</v>
      </c>
      <c r="AT20" s="189" t="e">
        <f>MDURATION([0]!EFFDATE,E20,F20,D20/100,2)</f>
        <v>#NAME?</v>
      </c>
      <c r="AU20" s="190">
        <f>IF(OR(ISERR(AT20),ISERR(#REF!)),0,IF(AT20&lt;=1,1,IF(AT20&gt;3.6,3,2)))</f>
        <v>0</v>
      </c>
      <c r="AV20" s="191">
        <f>IF(AU20=0,0,B20/100*#REF!*AT20*CHOOSE(AU20,0.01,0.0085,0.007))</f>
        <v>0</v>
      </c>
      <c r="AW20" s="192">
        <f t="shared" si="7"/>
        <v>0</v>
      </c>
      <c r="AX20" s="192">
        <f t="shared" si="8"/>
        <v>0</v>
      </c>
      <c r="AY20" s="192">
        <f t="shared" si="9"/>
        <v>0</v>
      </c>
      <c r="AZ20" s="192">
        <f t="shared" si="10"/>
        <v>0</v>
      </c>
      <c r="BA20" s="192">
        <f t="shared" si="11"/>
        <v>0</v>
      </c>
      <c r="BB20" s="192">
        <f t="shared" si="12"/>
        <v>0</v>
      </c>
      <c r="BC20" s="187"/>
      <c r="BD20" s="28">
        <v>15.00000000001</v>
      </c>
      <c r="BE20" s="28">
        <v>9.30000000001</v>
      </c>
      <c r="BF20" s="28">
        <v>3</v>
      </c>
      <c r="BG20" s="740">
        <v>0.0525</v>
      </c>
      <c r="BK20">
        <v>12</v>
      </c>
      <c r="BL20">
        <v>0.0525</v>
      </c>
    </row>
    <row r="21" spans="1:64" ht="12.75">
      <c r="A21" s="183">
        <v>0</v>
      </c>
      <c r="B21" s="695" t="s">
        <v>13</v>
      </c>
      <c r="C21" s="736" t="s">
        <v>13</v>
      </c>
      <c r="D21" s="701">
        <v>0</v>
      </c>
      <c r="E21" s="193">
        <v>41994</v>
      </c>
      <c r="F21" s="194">
        <v>0.115</v>
      </c>
      <c r="G21" s="756" t="s">
        <v>13</v>
      </c>
      <c r="H21" s="697">
        <f t="shared" si="44"/>
        <v>9.975342465753425</v>
      </c>
      <c r="I21" s="729">
        <f>IF(G21=1,(#REF!),0)</f>
        <v>0</v>
      </c>
      <c r="J21" s="693">
        <f>IF(AND($G21=2,$H21&lt;0.5),ABS(#REF!),0)</f>
        <v>0</v>
      </c>
      <c r="K21" s="693">
        <f>IF(AND($G21=2,$H21&gt;=0.5,$H21&lt;=2),ABS(#REF!),0)</f>
        <v>0</v>
      </c>
      <c r="L21" s="693">
        <f>IF(AND($G21=2,$H21&gt;2),ABS(#REF!),0)</f>
        <v>0</v>
      </c>
      <c r="M21" s="693">
        <f>IF(G21=3,ABS(#REF!),0)</f>
        <v>0</v>
      </c>
      <c r="N21" s="188">
        <f t="shared" si="13"/>
        <v>10</v>
      </c>
      <c r="O21" s="692">
        <f t="shared" si="6"/>
        <v>0</v>
      </c>
      <c r="P21" s="704">
        <f t="shared" si="14"/>
        <v>0</v>
      </c>
      <c r="Q21" s="704">
        <f t="shared" si="15"/>
        <v>0</v>
      </c>
      <c r="R21" s="704">
        <f t="shared" si="16"/>
        <v>0</v>
      </c>
      <c r="S21" s="704">
        <f t="shared" si="17"/>
        <v>0</v>
      </c>
      <c r="T21" s="704">
        <f t="shared" si="18"/>
        <v>0</v>
      </c>
      <c r="U21" s="704">
        <f t="shared" si="19"/>
        <v>0</v>
      </c>
      <c r="V21" s="704">
        <f t="shared" si="20"/>
        <v>0</v>
      </c>
      <c r="W21" s="704">
        <f t="shared" si="21"/>
        <v>0</v>
      </c>
      <c r="X21" s="704">
        <f t="shared" si="22"/>
        <v>0</v>
      </c>
      <c r="Y21" s="704">
        <f t="shared" si="23"/>
        <v>0</v>
      </c>
      <c r="Z21" s="704">
        <f t="shared" si="24"/>
        <v>0</v>
      </c>
      <c r="AA21" s="704">
        <f t="shared" si="25"/>
        <v>0</v>
      </c>
      <c r="AB21" s="704">
        <f t="shared" si="26"/>
        <v>0</v>
      </c>
      <c r="AC21" s="704">
        <f t="shared" si="27"/>
        <v>0</v>
      </c>
      <c r="AD21" s="704">
        <f t="shared" si="28"/>
        <v>0</v>
      </c>
      <c r="AE21" s="704">
        <f t="shared" si="29"/>
        <v>0</v>
      </c>
      <c r="AF21" s="704">
        <f t="shared" si="30"/>
        <v>0</v>
      </c>
      <c r="AG21" s="704">
        <f t="shared" si="31"/>
        <v>0</v>
      </c>
      <c r="AH21" s="704">
        <f t="shared" si="32"/>
        <v>0</v>
      </c>
      <c r="AI21" s="704">
        <f t="shared" si="33"/>
        <v>0</v>
      </c>
      <c r="AJ21" s="704">
        <f t="shared" si="34"/>
        <v>0</v>
      </c>
      <c r="AK21" s="704">
        <f t="shared" si="35"/>
        <v>0</v>
      </c>
      <c r="AL21" s="704">
        <f t="shared" si="36"/>
        <v>0</v>
      </c>
      <c r="AM21" s="704">
        <f t="shared" si="37"/>
        <v>0</v>
      </c>
      <c r="AN21" s="704">
        <f t="shared" si="38"/>
        <v>0</v>
      </c>
      <c r="AO21" s="704">
        <f t="shared" si="39"/>
        <v>0</v>
      </c>
      <c r="AP21" s="704">
        <f t="shared" si="40"/>
        <v>0</v>
      </c>
      <c r="AQ21" s="704">
        <f t="shared" si="41"/>
        <v>0</v>
      </c>
      <c r="AR21" s="704">
        <f t="shared" si="42"/>
        <v>0</v>
      </c>
      <c r="AS21" s="704">
        <f t="shared" si="43"/>
        <v>0</v>
      </c>
      <c r="AT21" s="189" t="e">
        <f>MDURATION([0]!EFFDATE,E21,F21,D21/100,2)</f>
        <v>#NAME?</v>
      </c>
      <c r="AU21" s="190">
        <f>IF(OR(ISERR(AT21),ISERR(#REF!)),0,IF(AT21&lt;=1,1,IF(AT21&gt;3.6,3,2)))</f>
        <v>0</v>
      </c>
      <c r="AV21" s="191">
        <f>IF(AU21=0,0,B21/100*#REF!*AT21*CHOOSE(AU21,0.01,0.0085,0.007))</f>
        <v>0</v>
      </c>
      <c r="AW21" s="192">
        <f t="shared" si="7"/>
        <v>0</v>
      </c>
      <c r="AX21" s="192">
        <f t="shared" si="8"/>
        <v>0</v>
      </c>
      <c r="AY21" s="192">
        <f t="shared" si="9"/>
        <v>0</v>
      </c>
      <c r="AZ21" s="192">
        <f t="shared" si="10"/>
        <v>0</v>
      </c>
      <c r="BA21" s="192">
        <f t="shared" si="11"/>
        <v>0</v>
      </c>
      <c r="BB21" s="192">
        <f t="shared" si="12"/>
        <v>0</v>
      </c>
      <c r="BC21" s="187"/>
      <c r="BD21" s="28">
        <v>20.00000000101</v>
      </c>
      <c r="BE21" s="28">
        <v>10.600000000009999</v>
      </c>
      <c r="BF21" s="28">
        <v>3</v>
      </c>
      <c r="BG21" s="740">
        <v>0.06</v>
      </c>
      <c r="BK21">
        <v>13</v>
      </c>
      <c r="BL21">
        <v>0.06</v>
      </c>
    </row>
    <row r="22" spans="1:64" ht="12.75">
      <c r="A22" s="183">
        <v>0</v>
      </c>
      <c r="B22" s="695"/>
      <c r="C22" s="736" t="s">
        <v>13</v>
      </c>
      <c r="D22" s="701">
        <v>0</v>
      </c>
      <c r="E22" s="193">
        <v>39538</v>
      </c>
      <c r="F22" s="185">
        <v>0.1</v>
      </c>
      <c r="G22" s="756" t="s">
        <v>13</v>
      </c>
      <c r="H22" s="697">
        <f t="shared" si="44"/>
        <v>3.2465753424657535</v>
      </c>
      <c r="I22" s="729">
        <f t="shared" si="1"/>
        <v>0</v>
      </c>
      <c r="J22" s="693">
        <f t="shared" si="2"/>
        <v>0</v>
      </c>
      <c r="K22" s="693">
        <f t="shared" si="3"/>
        <v>0</v>
      </c>
      <c r="L22" s="693">
        <f t="shared" si="4"/>
        <v>0</v>
      </c>
      <c r="M22" s="693">
        <f t="shared" si="5"/>
        <v>0</v>
      </c>
      <c r="N22" s="188">
        <f t="shared" si="13"/>
        <v>7</v>
      </c>
      <c r="O22" s="692">
        <f t="shared" si="6"/>
        <v>0</v>
      </c>
      <c r="P22" s="704">
        <f t="shared" si="14"/>
        <v>0</v>
      </c>
      <c r="Q22" s="704">
        <f t="shared" si="15"/>
        <v>0</v>
      </c>
      <c r="R22" s="704">
        <f t="shared" si="16"/>
        <v>0</v>
      </c>
      <c r="S22" s="704">
        <f t="shared" si="17"/>
        <v>0</v>
      </c>
      <c r="T22" s="704">
        <f t="shared" si="18"/>
        <v>0</v>
      </c>
      <c r="U22" s="704">
        <f t="shared" si="19"/>
        <v>0</v>
      </c>
      <c r="V22" s="704">
        <f t="shared" si="20"/>
        <v>0</v>
      </c>
      <c r="W22" s="704">
        <f t="shared" si="21"/>
        <v>0</v>
      </c>
      <c r="X22" s="704">
        <f t="shared" si="22"/>
        <v>0</v>
      </c>
      <c r="Y22" s="704">
        <f t="shared" si="23"/>
        <v>0</v>
      </c>
      <c r="Z22" s="704">
        <f t="shared" si="24"/>
        <v>0</v>
      </c>
      <c r="AA22" s="704">
        <f t="shared" si="25"/>
        <v>0</v>
      </c>
      <c r="AB22" s="704">
        <f t="shared" si="26"/>
        <v>0</v>
      </c>
      <c r="AC22" s="704">
        <f t="shared" si="27"/>
        <v>0</v>
      </c>
      <c r="AD22" s="704">
        <f t="shared" si="28"/>
        <v>0</v>
      </c>
      <c r="AE22" s="704">
        <f t="shared" si="29"/>
        <v>0</v>
      </c>
      <c r="AF22" s="704">
        <f t="shared" si="30"/>
        <v>0</v>
      </c>
      <c r="AG22" s="704">
        <f t="shared" si="31"/>
        <v>0</v>
      </c>
      <c r="AH22" s="704">
        <f t="shared" si="32"/>
        <v>0</v>
      </c>
      <c r="AI22" s="704">
        <f t="shared" si="33"/>
        <v>0</v>
      </c>
      <c r="AJ22" s="704">
        <f t="shared" si="34"/>
        <v>0</v>
      </c>
      <c r="AK22" s="704">
        <f t="shared" si="35"/>
        <v>0</v>
      </c>
      <c r="AL22" s="704">
        <f t="shared" si="36"/>
        <v>0</v>
      </c>
      <c r="AM22" s="704">
        <f t="shared" si="37"/>
        <v>0</v>
      </c>
      <c r="AN22" s="704">
        <f t="shared" si="38"/>
        <v>0</v>
      </c>
      <c r="AO22" s="704">
        <f t="shared" si="39"/>
        <v>0</v>
      </c>
      <c r="AP22" s="704">
        <f t="shared" si="40"/>
        <v>0</v>
      </c>
      <c r="AQ22" s="704">
        <f t="shared" si="41"/>
        <v>0</v>
      </c>
      <c r="AR22" s="704">
        <f t="shared" si="42"/>
        <v>0</v>
      </c>
      <c r="AS22" s="704">
        <f t="shared" si="43"/>
        <v>0</v>
      </c>
      <c r="AT22" s="189" t="e">
        <f>MDURATION([0]!EFFDATE,E22,F22,C22/100,2)</f>
        <v>#NAME?</v>
      </c>
      <c r="AU22" s="190">
        <f>IF(OR(ISERR(AT22),ISERR(#REF!)),0,IF(AT22&lt;=1,1,IF(AT22&gt;3.6,3,2)))</f>
        <v>0</v>
      </c>
      <c r="AV22" s="191">
        <f>IF(AU22=0,0,B22/100*#REF!*AT22*CHOOSE(AU22,0.01,0.0085,0.007))</f>
        <v>0</v>
      </c>
      <c r="AW22" s="192">
        <f t="shared" si="7"/>
        <v>0</v>
      </c>
      <c r="AX22" s="192">
        <f t="shared" si="8"/>
        <v>0</v>
      </c>
      <c r="AY22" s="192">
        <f t="shared" si="9"/>
        <v>0</v>
      </c>
      <c r="AZ22" s="192">
        <f t="shared" si="10"/>
        <v>0</v>
      </c>
      <c r="BA22" s="192">
        <f t="shared" si="11"/>
        <v>0</v>
      </c>
      <c r="BB22" s="192">
        <f t="shared" si="12"/>
        <v>0</v>
      </c>
      <c r="BC22" s="187"/>
      <c r="BD22" s="28"/>
      <c r="BE22" s="28">
        <v>12.00000000001</v>
      </c>
      <c r="BF22" s="28">
        <v>3</v>
      </c>
      <c r="BG22" s="740">
        <v>0.08</v>
      </c>
      <c r="BK22">
        <v>14</v>
      </c>
      <c r="BL22">
        <v>0.08</v>
      </c>
    </row>
    <row r="23" spans="1:64" ht="12.75">
      <c r="A23" s="183">
        <v>0</v>
      </c>
      <c r="B23" s="695"/>
      <c r="C23" s="736" t="s">
        <v>13</v>
      </c>
      <c r="D23" s="701"/>
      <c r="E23" s="193">
        <v>39097</v>
      </c>
      <c r="F23" s="185">
        <v>0.12</v>
      </c>
      <c r="G23" s="756" t="s">
        <v>13</v>
      </c>
      <c r="H23" s="697">
        <f t="shared" si="44"/>
        <v>2.0383561643835617</v>
      </c>
      <c r="I23" s="729">
        <f t="shared" si="1"/>
        <v>0</v>
      </c>
      <c r="J23" s="693">
        <f t="shared" si="2"/>
        <v>0</v>
      </c>
      <c r="K23" s="693">
        <f t="shared" si="3"/>
        <v>0</v>
      </c>
      <c r="L23" s="693">
        <f t="shared" si="4"/>
        <v>0</v>
      </c>
      <c r="M23" s="693">
        <f t="shared" si="5"/>
        <v>0</v>
      </c>
      <c r="N23" s="188">
        <f t="shared" si="13"/>
        <v>6</v>
      </c>
      <c r="O23" s="692">
        <f t="shared" si="6"/>
        <v>0</v>
      </c>
      <c r="P23" s="704">
        <f t="shared" si="14"/>
        <v>0</v>
      </c>
      <c r="Q23" s="704">
        <f t="shared" si="15"/>
        <v>0</v>
      </c>
      <c r="R23" s="704">
        <f t="shared" si="16"/>
        <v>0</v>
      </c>
      <c r="S23" s="704">
        <f t="shared" si="17"/>
        <v>0</v>
      </c>
      <c r="T23" s="704">
        <f t="shared" si="18"/>
        <v>0</v>
      </c>
      <c r="U23" s="704">
        <f t="shared" si="19"/>
        <v>0</v>
      </c>
      <c r="V23" s="704">
        <f t="shared" si="20"/>
        <v>0</v>
      </c>
      <c r="W23" s="704">
        <f t="shared" si="21"/>
        <v>0</v>
      </c>
      <c r="X23" s="704">
        <f t="shared" si="22"/>
        <v>0</v>
      </c>
      <c r="Y23" s="704">
        <f t="shared" si="23"/>
        <v>0</v>
      </c>
      <c r="Z23" s="704">
        <f t="shared" si="24"/>
        <v>0</v>
      </c>
      <c r="AA23" s="704">
        <f t="shared" si="25"/>
        <v>0</v>
      </c>
      <c r="AB23" s="704">
        <f t="shared" si="26"/>
        <v>0</v>
      </c>
      <c r="AC23" s="704">
        <f t="shared" si="27"/>
        <v>0</v>
      </c>
      <c r="AD23" s="704">
        <f t="shared" si="28"/>
        <v>0</v>
      </c>
      <c r="AE23" s="704">
        <f t="shared" si="29"/>
        <v>0</v>
      </c>
      <c r="AF23" s="704">
        <f t="shared" si="30"/>
        <v>0</v>
      </c>
      <c r="AG23" s="704">
        <f t="shared" si="31"/>
        <v>0</v>
      </c>
      <c r="AH23" s="704">
        <f t="shared" si="32"/>
        <v>0</v>
      </c>
      <c r="AI23" s="704">
        <f t="shared" si="33"/>
        <v>0</v>
      </c>
      <c r="AJ23" s="704">
        <f t="shared" si="34"/>
        <v>0</v>
      </c>
      <c r="AK23" s="704">
        <f t="shared" si="35"/>
        <v>0</v>
      </c>
      <c r="AL23" s="704">
        <f t="shared" si="36"/>
        <v>0</v>
      </c>
      <c r="AM23" s="704">
        <f t="shared" si="37"/>
        <v>0</v>
      </c>
      <c r="AN23" s="704">
        <f t="shared" si="38"/>
        <v>0</v>
      </c>
      <c r="AO23" s="704">
        <f t="shared" si="39"/>
        <v>0</v>
      </c>
      <c r="AP23" s="704">
        <f t="shared" si="40"/>
        <v>0</v>
      </c>
      <c r="AQ23" s="704">
        <f t="shared" si="41"/>
        <v>0</v>
      </c>
      <c r="AR23" s="704">
        <f t="shared" si="42"/>
        <v>0</v>
      </c>
      <c r="AS23" s="704">
        <f t="shared" si="43"/>
        <v>0</v>
      </c>
      <c r="AT23" s="189" t="e">
        <f>MDURATION([0]!EFFDATE,E23,F23,C23/100,2)</f>
        <v>#NAME?</v>
      </c>
      <c r="AU23" s="190">
        <f>IF(OR(ISERR(AT23),ISERR(#REF!)),0,IF(AT23&lt;=1,1,IF(AT23&gt;3.6,3,2)))</f>
        <v>0</v>
      </c>
      <c r="AV23" s="191">
        <f>IF(AU23=0,0,B23/100*#REF!*AT23*CHOOSE(AU23,0.01,0.0085,0.007))</f>
        <v>0</v>
      </c>
      <c r="AW23" s="192">
        <f t="shared" si="7"/>
        <v>0</v>
      </c>
      <c r="AX23" s="192">
        <f t="shared" si="8"/>
        <v>0</v>
      </c>
      <c r="AY23" s="192">
        <f t="shared" si="9"/>
        <v>0</v>
      </c>
      <c r="AZ23" s="192">
        <f t="shared" si="10"/>
        <v>0</v>
      </c>
      <c r="BA23" s="192">
        <f t="shared" si="11"/>
        <v>0</v>
      </c>
      <c r="BB23" s="192">
        <f t="shared" si="12"/>
        <v>0</v>
      </c>
      <c r="BC23" s="187"/>
      <c r="BD23" s="28"/>
      <c r="BE23" s="28">
        <v>20.00000000001</v>
      </c>
      <c r="BF23" s="28">
        <v>3</v>
      </c>
      <c r="BG23" s="740">
        <v>0.125</v>
      </c>
      <c r="BK23">
        <v>15</v>
      </c>
      <c r="BL23">
        <v>0.125</v>
      </c>
    </row>
    <row r="24" spans="1:56" ht="12.75">
      <c r="A24" s="183">
        <v>0</v>
      </c>
      <c r="B24" s="695"/>
      <c r="C24" s="551"/>
      <c r="D24" s="701"/>
      <c r="E24" s="193">
        <v>39097</v>
      </c>
      <c r="F24" s="194">
        <v>0.125</v>
      </c>
      <c r="G24" s="756" t="s">
        <v>13</v>
      </c>
      <c r="H24" s="697">
        <f t="shared" si="0"/>
        <v>2.0383561643835617</v>
      </c>
      <c r="I24" s="729">
        <f t="shared" si="1"/>
        <v>0</v>
      </c>
      <c r="J24" s="693">
        <f t="shared" si="2"/>
        <v>0</v>
      </c>
      <c r="K24" s="693">
        <f t="shared" si="3"/>
        <v>0</v>
      </c>
      <c r="L24" s="693">
        <f t="shared" si="4"/>
        <v>0</v>
      </c>
      <c r="M24" s="693">
        <f t="shared" si="5"/>
        <v>0</v>
      </c>
      <c r="N24" s="188">
        <f t="shared" si="13"/>
        <v>6</v>
      </c>
      <c r="O24" s="692">
        <f t="shared" si="6"/>
        <v>0</v>
      </c>
      <c r="P24" s="704">
        <f t="shared" si="14"/>
        <v>0</v>
      </c>
      <c r="Q24" s="704">
        <f t="shared" si="15"/>
        <v>0</v>
      </c>
      <c r="R24" s="704">
        <f t="shared" si="16"/>
        <v>0</v>
      </c>
      <c r="S24" s="704">
        <f t="shared" si="17"/>
        <v>0</v>
      </c>
      <c r="T24" s="704">
        <f t="shared" si="18"/>
        <v>0</v>
      </c>
      <c r="U24" s="704">
        <f t="shared" si="19"/>
        <v>0</v>
      </c>
      <c r="V24" s="704">
        <f t="shared" si="20"/>
        <v>0</v>
      </c>
      <c r="W24" s="704">
        <f t="shared" si="21"/>
        <v>0</v>
      </c>
      <c r="X24" s="704">
        <f t="shared" si="22"/>
        <v>0</v>
      </c>
      <c r="Y24" s="704">
        <f t="shared" si="23"/>
        <v>0</v>
      </c>
      <c r="Z24" s="704">
        <f t="shared" si="24"/>
        <v>0</v>
      </c>
      <c r="AA24" s="704">
        <f t="shared" si="25"/>
        <v>0</v>
      </c>
      <c r="AB24" s="704">
        <f t="shared" si="26"/>
        <v>0</v>
      </c>
      <c r="AC24" s="704">
        <f t="shared" si="27"/>
        <v>0</v>
      </c>
      <c r="AD24" s="704">
        <f t="shared" si="28"/>
        <v>0</v>
      </c>
      <c r="AE24" s="704">
        <f t="shared" si="29"/>
        <v>0</v>
      </c>
      <c r="AF24" s="704">
        <f t="shared" si="30"/>
        <v>0</v>
      </c>
      <c r="AG24" s="704">
        <f t="shared" si="31"/>
        <v>0</v>
      </c>
      <c r="AH24" s="704">
        <f t="shared" si="32"/>
        <v>0</v>
      </c>
      <c r="AI24" s="704">
        <f t="shared" si="33"/>
        <v>0</v>
      </c>
      <c r="AJ24" s="704">
        <f t="shared" si="34"/>
        <v>0</v>
      </c>
      <c r="AK24" s="704">
        <f t="shared" si="35"/>
        <v>0</v>
      </c>
      <c r="AL24" s="704">
        <f t="shared" si="36"/>
        <v>0</v>
      </c>
      <c r="AM24" s="704">
        <f t="shared" si="37"/>
        <v>0</v>
      </c>
      <c r="AN24" s="704">
        <f t="shared" si="38"/>
        <v>0</v>
      </c>
      <c r="AO24" s="704">
        <f t="shared" si="39"/>
        <v>0</v>
      </c>
      <c r="AP24" s="704">
        <f t="shared" si="40"/>
        <v>0</v>
      </c>
      <c r="AQ24" s="704">
        <f t="shared" si="41"/>
        <v>0</v>
      </c>
      <c r="AR24" s="704">
        <f t="shared" si="42"/>
        <v>0</v>
      </c>
      <c r="AS24" s="704">
        <f t="shared" si="43"/>
        <v>0</v>
      </c>
      <c r="AT24" s="189" t="e">
        <f>MDURATION([0]!EFFDATE,E24,F24,C24/100,2)</f>
        <v>#NAME?</v>
      </c>
      <c r="AU24" s="190">
        <f>IF(OR(ISERR(AT24),ISERR(#REF!)),0,IF(AT24&lt;=1,1,IF(AT24&gt;3.6,3,2)))</f>
        <v>0</v>
      </c>
      <c r="AV24" s="191">
        <f>IF(AU24=0,0,B24/100*#REF!*AT24*CHOOSE(AU24,0.01,0.0085,0.007))</f>
        <v>0</v>
      </c>
      <c r="AW24" s="192">
        <f t="shared" si="7"/>
        <v>0</v>
      </c>
      <c r="AX24" s="192">
        <f t="shared" si="8"/>
        <v>0</v>
      </c>
      <c r="AY24" s="192">
        <f t="shared" si="9"/>
        <v>0</v>
      </c>
      <c r="AZ24" s="192">
        <f t="shared" si="10"/>
        <v>0</v>
      </c>
      <c r="BA24" s="192">
        <f t="shared" si="11"/>
        <v>0</v>
      </c>
      <c r="BB24" s="192">
        <f t="shared" si="12"/>
        <v>0</v>
      </c>
      <c r="BC24" s="9"/>
      <c r="BD24" s="28"/>
    </row>
    <row r="25" spans="1:56" ht="12.75">
      <c r="A25" s="183">
        <v>0</v>
      </c>
      <c r="B25" s="695"/>
      <c r="C25" s="551"/>
      <c r="D25" s="701"/>
      <c r="E25" s="193">
        <v>39451</v>
      </c>
      <c r="F25" s="194">
        <v>0.075</v>
      </c>
      <c r="G25" s="756" t="s">
        <v>13</v>
      </c>
      <c r="H25" s="697">
        <f t="shared" si="0"/>
        <v>3.0082191780821916</v>
      </c>
      <c r="I25" s="729">
        <f t="shared" si="1"/>
        <v>0</v>
      </c>
      <c r="J25" s="693">
        <f t="shared" si="2"/>
        <v>0</v>
      </c>
      <c r="K25" s="693">
        <f t="shared" si="3"/>
        <v>0</v>
      </c>
      <c r="L25" s="693">
        <f t="shared" si="4"/>
        <v>0</v>
      </c>
      <c r="M25" s="693">
        <f t="shared" si="5"/>
        <v>0</v>
      </c>
      <c r="N25" s="188">
        <f t="shared" si="13"/>
        <v>7</v>
      </c>
      <c r="O25" s="692">
        <f t="shared" si="6"/>
        <v>0</v>
      </c>
      <c r="P25" s="704">
        <f t="shared" si="14"/>
        <v>0</v>
      </c>
      <c r="Q25" s="704">
        <f t="shared" si="15"/>
        <v>0</v>
      </c>
      <c r="R25" s="704">
        <f t="shared" si="16"/>
        <v>0</v>
      </c>
      <c r="S25" s="704">
        <f t="shared" si="17"/>
        <v>0</v>
      </c>
      <c r="T25" s="704">
        <f t="shared" si="18"/>
        <v>0</v>
      </c>
      <c r="U25" s="704">
        <f t="shared" si="19"/>
        <v>0</v>
      </c>
      <c r="V25" s="704">
        <f t="shared" si="20"/>
        <v>0</v>
      </c>
      <c r="W25" s="704">
        <f t="shared" si="21"/>
        <v>0</v>
      </c>
      <c r="X25" s="704">
        <f t="shared" si="22"/>
        <v>0</v>
      </c>
      <c r="Y25" s="704">
        <f t="shared" si="23"/>
        <v>0</v>
      </c>
      <c r="Z25" s="704">
        <f t="shared" si="24"/>
        <v>0</v>
      </c>
      <c r="AA25" s="704">
        <f t="shared" si="25"/>
        <v>0</v>
      </c>
      <c r="AB25" s="704">
        <f t="shared" si="26"/>
        <v>0</v>
      </c>
      <c r="AC25" s="704">
        <f t="shared" si="27"/>
        <v>0</v>
      </c>
      <c r="AD25" s="704">
        <f t="shared" si="28"/>
        <v>0</v>
      </c>
      <c r="AE25" s="704">
        <f t="shared" si="29"/>
        <v>0</v>
      </c>
      <c r="AF25" s="704">
        <f t="shared" si="30"/>
        <v>0</v>
      </c>
      <c r="AG25" s="704">
        <f t="shared" si="31"/>
        <v>0</v>
      </c>
      <c r="AH25" s="704">
        <f t="shared" si="32"/>
        <v>0</v>
      </c>
      <c r="AI25" s="704">
        <f t="shared" si="33"/>
        <v>0</v>
      </c>
      <c r="AJ25" s="704">
        <f t="shared" si="34"/>
        <v>0</v>
      </c>
      <c r="AK25" s="704">
        <f t="shared" si="35"/>
        <v>0</v>
      </c>
      <c r="AL25" s="704">
        <f t="shared" si="36"/>
        <v>0</v>
      </c>
      <c r="AM25" s="704">
        <f t="shared" si="37"/>
        <v>0</v>
      </c>
      <c r="AN25" s="704">
        <f t="shared" si="38"/>
        <v>0</v>
      </c>
      <c r="AO25" s="704">
        <f t="shared" si="39"/>
        <v>0</v>
      </c>
      <c r="AP25" s="704">
        <f t="shared" si="40"/>
        <v>0</v>
      </c>
      <c r="AQ25" s="704">
        <f t="shared" si="41"/>
        <v>0</v>
      </c>
      <c r="AR25" s="704">
        <f t="shared" si="42"/>
        <v>0</v>
      </c>
      <c r="AS25" s="704">
        <f t="shared" si="43"/>
        <v>0</v>
      </c>
      <c r="AT25" s="189" t="e">
        <f>MDURATION([0]!EFFDATE,E25,F25,C25/100,2)</f>
        <v>#NAME?</v>
      </c>
      <c r="AU25" s="190">
        <f>IF(OR(ISERR(AT25),ISERR(#REF!)),0,IF(AT25&lt;=1,1,IF(AT25&gt;3.6,3,2)))</f>
        <v>0</v>
      </c>
      <c r="AV25" s="191">
        <f>IF(AU25=0,0,B25/100*#REF!*AT25*CHOOSE(AU25,0.01,0.0085,0.007))</f>
        <v>0</v>
      </c>
      <c r="AW25" s="192">
        <f t="shared" si="7"/>
        <v>0</v>
      </c>
      <c r="AX25" s="192">
        <f t="shared" si="8"/>
        <v>0</v>
      </c>
      <c r="AY25" s="192">
        <f t="shared" si="9"/>
        <v>0</v>
      </c>
      <c r="AZ25" s="192">
        <f t="shared" si="10"/>
        <v>0</v>
      </c>
      <c r="BA25" s="192">
        <f t="shared" si="11"/>
        <v>0</v>
      </c>
      <c r="BB25" s="192">
        <f t="shared" si="12"/>
        <v>0</v>
      </c>
      <c r="BC25" s="9"/>
      <c r="BD25" s="9"/>
    </row>
    <row r="26" spans="1:56" ht="12.75">
      <c r="A26" s="183">
        <v>0</v>
      </c>
      <c r="B26" s="695"/>
      <c r="C26" s="551"/>
      <c r="D26" s="701"/>
      <c r="E26" s="193">
        <v>39097</v>
      </c>
      <c r="F26" s="194">
        <v>0.115</v>
      </c>
      <c r="G26" s="756" t="s">
        <v>13</v>
      </c>
      <c r="H26" s="697">
        <f t="shared" si="0"/>
        <v>2.0383561643835617</v>
      </c>
      <c r="I26" s="729">
        <f t="shared" si="1"/>
        <v>0</v>
      </c>
      <c r="J26" s="693">
        <f t="shared" si="2"/>
        <v>0</v>
      </c>
      <c r="K26" s="693">
        <f t="shared" si="3"/>
        <v>0</v>
      </c>
      <c r="L26" s="693">
        <f t="shared" si="4"/>
        <v>0</v>
      </c>
      <c r="M26" s="693">
        <f t="shared" si="5"/>
        <v>0</v>
      </c>
      <c r="N26" s="188">
        <f t="shared" si="13"/>
        <v>6</v>
      </c>
      <c r="O26" s="692">
        <f t="shared" si="6"/>
        <v>0</v>
      </c>
      <c r="P26" s="704">
        <f t="shared" si="14"/>
        <v>0</v>
      </c>
      <c r="Q26" s="704">
        <f t="shared" si="15"/>
        <v>0</v>
      </c>
      <c r="R26" s="704">
        <f t="shared" si="16"/>
        <v>0</v>
      </c>
      <c r="S26" s="704">
        <f t="shared" si="17"/>
        <v>0</v>
      </c>
      <c r="T26" s="704">
        <f t="shared" si="18"/>
        <v>0</v>
      </c>
      <c r="U26" s="704">
        <f t="shared" si="19"/>
        <v>0</v>
      </c>
      <c r="V26" s="704">
        <f t="shared" si="20"/>
        <v>0</v>
      </c>
      <c r="W26" s="704">
        <f t="shared" si="21"/>
        <v>0</v>
      </c>
      <c r="X26" s="704">
        <f t="shared" si="22"/>
        <v>0</v>
      </c>
      <c r="Y26" s="704">
        <f t="shared" si="23"/>
        <v>0</v>
      </c>
      <c r="Z26" s="704">
        <f t="shared" si="24"/>
        <v>0</v>
      </c>
      <c r="AA26" s="704">
        <f t="shared" si="25"/>
        <v>0</v>
      </c>
      <c r="AB26" s="704">
        <f t="shared" si="26"/>
        <v>0</v>
      </c>
      <c r="AC26" s="704">
        <f t="shared" si="27"/>
        <v>0</v>
      </c>
      <c r="AD26" s="704">
        <f t="shared" si="28"/>
        <v>0</v>
      </c>
      <c r="AE26" s="704">
        <f t="shared" si="29"/>
        <v>0</v>
      </c>
      <c r="AF26" s="704">
        <f t="shared" si="30"/>
        <v>0</v>
      </c>
      <c r="AG26" s="704">
        <f t="shared" si="31"/>
        <v>0</v>
      </c>
      <c r="AH26" s="704">
        <f t="shared" si="32"/>
        <v>0</v>
      </c>
      <c r="AI26" s="704">
        <f t="shared" si="33"/>
        <v>0</v>
      </c>
      <c r="AJ26" s="704">
        <f t="shared" si="34"/>
        <v>0</v>
      </c>
      <c r="AK26" s="704">
        <f t="shared" si="35"/>
        <v>0</v>
      </c>
      <c r="AL26" s="704">
        <f t="shared" si="36"/>
        <v>0</v>
      </c>
      <c r="AM26" s="704">
        <f t="shared" si="37"/>
        <v>0</v>
      </c>
      <c r="AN26" s="704">
        <f t="shared" si="38"/>
        <v>0</v>
      </c>
      <c r="AO26" s="704">
        <f t="shared" si="39"/>
        <v>0</v>
      </c>
      <c r="AP26" s="704">
        <f t="shared" si="40"/>
        <v>0</v>
      </c>
      <c r="AQ26" s="704">
        <f t="shared" si="41"/>
        <v>0</v>
      </c>
      <c r="AR26" s="704">
        <f t="shared" si="42"/>
        <v>0</v>
      </c>
      <c r="AS26" s="704">
        <f t="shared" si="43"/>
        <v>0</v>
      </c>
      <c r="AT26" s="189" t="e">
        <f>MDURATION([0]!EFFDATE,E26,F26,C26/100,2)</f>
        <v>#NAME?</v>
      </c>
      <c r="AU26" s="190">
        <f>IF(OR(ISERR(AT26),ISERR(#REF!)),0,IF(AT26&lt;=1,1,IF(AT26&gt;3.6,3,2)))</f>
        <v>0</v>
      </c>
      <c r="AV26" s="191">
        <f>IF(AU26=0,0,B26/100*#REF!*AT26*CHOOSE(AU26,0.01,0.0085,0.007))</f>
        <v>0</v>
      </c>
      <c r="AW26" s="192">
        <f t="shared" si="7"/>
        <v>0</v>
      </c>
      <c r="AX26" s="192">
        <f t="shared" si="8"/>
        <v>0</v>
      </c>
      <c r="AY26" s="192">
        <f t="shared" si="9"/>
        <v>0</v>
      </c>
      <c r="AZ26" s="192">
        <f t="shared" si="10"/>
        <v>0</v>
      </c>
      <c r="BA26" s="192">
        <f t="shared" si="11"/>
        <v>0</v>
      </c>
      <c r="BB26" s="192">
        <f t="shared" si="12"/>
        <v>0</v>
      </c>
      <c r="BC26" s="9"/>
      <c r="BD26" s="9"/>
    </row>
    <row r="27" spans="1:56" ht="12.75">
      <c r="A27" s="183">
        <v>0</v>
      </c>
      <c r="B27" s="695"/>
      <c r="C27" s="551"/>
      <c r="D27" s="701"/>
      <c r="E27" s="197">
        <v>40451</v>
      </c>
      <c r="F27" s="198">
        <v>0.145</v>
      </c>
      <c r="G27" s="756" t="s">
        <v>13</v>
      </c>
      <c r="H27" s="697">
        <f t="shared" si="0"/>
        <v>5.747945205479452</v>
      </c>
      <c r="I27" s="729">
        <f t="shared" si="1"/>
        <v>0</v>
      </c>
      <c r="J27" s="693">
        <f t="shared" si="2"/>
        <v>0</v>
      </c>
      <c r="K27" s="693">
        <f t="shared" si="3"/>
        <v>0</v>
      </c>
      <c r="L27" s="693">
        <f t="shared" si="4"/>
        <v>0</v>
      </c>
      <c r="M27" s="693">
        <f t="shared" si="5"/>
        <v>0</v>
      </c>
      <c r="N27" s="188">
        <f t="shared" si="13"/>
        <v>9</v>
      </c>
      <c r="O27" s="692">
        <f t="shared" si="6"/>
        <v>0</v>
      </c>
      <c r="P27" s="704">
        <f t="shared" si="14"/>
        <v>0</v>
      </c>
      <c r="Q27" s="704">
        <f t="shared" si="15"/>
        <v>0</v>
      </c>
      <c r="R27" s="704">
        <f t="shared" si="16"/>
        <v>0</v>
      </c>
      <c r="S27" s="704">
        <f t="shared" si="17"/>
        <v>0</v>
      </c>
      <c r="T27" s="704">
        <f t="shared" si="18"/>
        <v>0</v>
      </c>
      <c r="U27" s="704">
        <f t="shared" si="19"/>
        <v>0</v>
      </c>
      <c r="V27" s="704">
        <f t="shared" si="20"/>
        <v>0</v>
      </c>
      <c r="W27" s="704">
        <f t="shared" si="21"/>
        <v>0</v>
      </c>
      <c r="X27" s="704">
        <f t="shared" si="22"/>
        <v>0</v>
      </c>
      <c r="Y27" s="704">
        <f t="shared" si="23"/>
        <v>0</v>
      </c>
      <c r="Z27" s="704">
        <f t="shared" si="24"/>
        <v>0</v>
      </c>
      <c r="AA27" s="704">
        <f t="shared" si="25"/>
        <v>0</v>
      </c>
      <c r="AB27" s="704">
        <f t="shared" si="26"/>
        <v>0</v>
      </c>
      <c r="AC27" s="704">
        <f t="shared" si="27"/>
        <v>0</v>
      </c>
      <c r="AD27" s="704">
        <f t="shared" si="28"/>
        <v>0</v>
      </c>
      <c r="AE27" s="704">
        <f t="shared" si="29"/>
        <v>0</v>
      </c>
      <c r="AF27" s="704">
        <f t="shared" si="30"/>
        <v>0</v>
      </c>
      <c r="AG27" s="704">
        <f t="shared" si="31"/>
        <v>0</v>
      </c>
      <c r="AH27" s="704">
        <f t="shared" si="32"/>
        <v>0</v>
      </c>
      <c r="AI27" s="704">
        <f t="shared" si="33"/>
        <v>0</v>
      </c>
      <c r="AJ27" s="704">
        <f t="shared" si="34"/>
        <v>0</v>
      </c>
      <c r="AK27" s="704">
        <f t="shared" si="35"/>
        <v>0</v>
      </c>
      <c r="AL27" s="704">
        <f t="shared" si="36"/>
        <v>0</v>
      </c>
      <c r="AM27" s="704">
        <f t="shared" si="37"/>
        <v>0</v>
      </c>
      <c r="AN27" s="704">
        <f t="shared" si="38"/>
        <v>0</v>
      </c>
      <c r="AO27" s="704">
        <f t="shared" si="39"/>
        <v>0</v>
      </c>
      <c r="AP27" s="704">
        <f t="shared" si="40"/>
        <v>0</v>
      </c>
      <c r="AQ27" s="704">
        <f t="shared" si="41"/>
        <v>0</v>
      </c>
      <c r="AR27" s="704">
        <f t="shared" si="42"/>
        <v>0</v>
      </c>
      <c r="AS27" s="704">
        <f t="shared" si="43"/>
        <v>0</v>
      </c>
      <c r="AT27" s="199" t="e">
        <f>MDURATION([0]!EFFDATE,E27,F27,C27/100,2)</f>
        <v>#NAME?</v>
      </c>
      <c r="AU27" s="190">
        <f>IF(OR(ISERR(AT27),ISERR(#REF!)),0,IF(AT27&lt;=1,1,IF(AT27&gt;3.6,3,2)))</f>
        <v>0</v>
      </c>
      <c r="AV27" s="191">
        <f>IF(AU27=0,0,B27/100*#REF!*AT27*CHOOSE(AU27,0.01,0.0085,0.007))</f>
        <v>0</v>
      </c>
      <c r="AW27" s="192">
        <f t="shared" si="7"/>
        <v>0</v>
      </c>
      <c r="AX27" s="192">
        <f t="shared" si="8"/>
        <v>0</v>
      </c>
      <c r="AY27" s="192">
        <f t="shared" si="9"/>
        <v>0</v>
      </c>
      <c r="AZ27" s="192">
        <f t="shared" si="10"/>
        <v>0</v>
      </c>
      <c r="BA27" s="192">
        <f t="shared" si="11"/>
        <v>0</v>
      </c>
      <c r="BB27" s="192">
        <f t="shared" si="12"/>
        <v>0</v>
      </c>
      <c r="BC27" s="9"/>
      <c r="BD27" s="9"/>
    </row>
    <row r="28" spans="1:56" ht="12.75">
      <c r="A28" s="183">
        <v>0</v>
      </c>
      <c r="B28" s="695"/>
      <c r="C28" s="551"/>
      <c r="D28" s="701"/>
      <c r="E28" s="545">
        <v>42262</v>
      </c>
      <c r="F28" s="546">
        <v>0.135</v>
      </c>
      <c r="G28" s="767" t="s">
        <v>13</v>
      </c>
      <c r="H28" s="697">
        <f t="shared" si="0"/>
        <v>10.70958904109589</v>
      </c>
      <c r="I28" s="729">
        <f t="shared" si="1"/>
        <v>0</v>
      </c>
      <c r="J28" s="693">
        <f t="shared" si="2"/>
        <v>0</v>
      </c>
      <c r="K28" s="693">
        <f t="shared" si="3"/>
        <v>0</v>
      </c>
      <c r="L28" s="693">
        <f t="shared" si="4"/>
        <v>0</v>
      </c>
      <c r="M28" s="693">
        <f t="shared" si="5"/>
        <v>0</v>
      </c>
      <c r="N28" s="188">
        <f t="shared" si="13"/>
        <v>11</v>
      </c>
      <c r="O28" s="692">
        <f t="shared" si="6"/>
        <v>0</v>
      </c>
      <c r="P28" s="704">
        <f t="shared" si="14"/>
        <v>0</v>
      </c>
      <c r="Q28" s="704">
        <f t="shared" si="15"/>
        <v>0</v>
      </c>
      <c r="R28" s="704">
        <f t="shared" si="16"/>
        <v>0</v>
      </c>
      <c r="S28" s="704">
        <f t="shared" si="17"/>
        <v>0</v>
      </c>
      <c r="T28" s="704">
        <f t="shared" si="18"/>
        <v>0</v>
      </c>
      <c r="U28" s="704">
        <f t="shared" si="19"/>
        <v>0</v>
      </c>
      <c r="V28" s="704">
        <f t="shared" si="20"/>
        <v>0</v>
      </c>
      <c r="W28" s="704">
        <f t="shared" si="21"/>
        <v>0</v>
      </c>
      <c r="X28" s="704">
        <f t="shared" si="22"/>
        <v>0</v>
      </c>
      <c r="Y28" s="704">
        <f t="shared" si="23"/>
        <v>0</v>
      </c>
      <c r="Z28" s="704">
        <f t="shared" si="24"/>
        <v>0</v>
      </c>
      <c r="AA28" s="704">
        <f t="shared" si="25"/>
        <v>0</v>
      </c>
      <c r="AB28" s="704">
        <f t="shared" si="26"/>
        <v>0</v>
      </c>
      <c r="AC28" s="704">
        <f t="shared" si="27"/>
        <v>0</v>
      </c>
      <c r="AD28" s="704">
        <f t="shared" si="28"/>
        <v>0</v>
      </c>
      <c r="AE28" s="704">
        <f t="shared" si="29"/>
        <v>0</v>
      </c>
      <c r="AF28" s="704">
        <f t="shared" si="30"/>
        <v>0</v>
      </c>
      <c r="AG28" s="704">
        <f t="shared" si="31"/>
        <v>0</v>
      </c>
      <c r="AH28" s="704">
        <f t="shared" si="32"/>
        <v>0</v>
      </c>
      <c r="AI28" s="704">
        <f t="shared" si="33"/>
        <v>0</v>
      </c>
      <c r="AJ28" s="704">
        <f t="shared" si="34"/>
        <v>0</v>
      </c>
      <c r="AK28" s="704">
        <f t="shared" si="35"/>
        <v>0</v>
      </c>
      <c r="AL28" s="704">
        <f t="shared" si="36"/>
        <v>0</v>
      </c>
      <c r="AM28" s="704">
        <f t="shared" si="37"/>
        <v>0</v>
      </c>
      <c r="AN28" s="704">
        <f t="shared" si="38"/>
        <v>0</v>
      </c>
      <c r="AO28" s="704">
        <f t="shared" si="39"/>
        <v>0</v>
      </c>
      <c r="AP28" s="704">
        <f t="shared" si="40"/>
        <v>0</v>
      </c>
      <c r="AQ28" s="704">
        <f t="shared" si="41"/>
        <v>0</v>
      </c>
      <c r="AR28" s="704">
        <f t="shared" si="42"/>
        <v>0</v>
      </c>
      <c r="AS28" s="704">
        <f t="shared" si="43"/>
        <v>0</v>
      </c>
      <c r="AT28" s="199" t="e">
        <f>MDURATION([0]!EFFDATE,E28,F28,C28/100,2)</f>
        <v>#NAME?</v>
      </c>
      <c r="AU28" s="190">
        <f>IF(OR(ISERR(AT28),ISERR(#REF!)),0,IF(AT28&lt;=1,1,IF(AT28&gt;3.6,3,2)))</f>
        <v>0</v>
      </c>
      <c r="AV28" s="191">
        <f>IF(AU28=0,0,B28/100*#REF!*AT28*CHOOSE(AU28,0.01,0.0085,0.007))</f>
        <v>0</v>
      </c>
      <c r="AW28" s="192">
        <f t="shared" si="7"/>
        <v>0</v>
      </c>
      <c r="AX28" s="192">
        <f t="shared" si="8"/>
        <v>0</v>
      </c>
      <c r="AY28" s="192">
        <f t="shared" si="9"/>
        <v>0</v>
      </c>
      <c r="AZ28" s="192">
        <f t="shared" si="10"/>
        <v>0</v>
      </c>
      <c r="BA28" s="192">
        <f t="shared" si="11"/>
        <v>0</v>
      </c>
      <c r="BB28" s="192">
        <f t="shared" si="12"/>
        <v>0</v>
      </c>
      <c r="BC28" s="9"/>
      <c r="BD28" s="9"/>
    </row>
    <row r="29" spans="1:56" ht="13.5" thickBot="1">
      <c r="A29" s="9"/>
      <c r="B29" s="710">
        <f>SUM(B9:B28)</f>
        <v>0</v>
      </c>
      <c r="C29" s="9"/>
      <c r="D29" s="710">
        <f>SUM(D9:D28)</f>
        <v>337010</v>
      </c>
      <c r="E29" s="9"/>
      <c r="F29" s="9"/>
      <c r="G29" s="9"/>
      <c r="H29" s="9"/>
      <c r="I29" s="710">
        <f>SUM(I9:I28)</f>
        <v>0</v>
      </c>
      <c r="J29" s="708">
        <f>SUM(J9:J28)</f>
        <v>0</v>
      </c>
      <c r="K29" s="708">
        <f>SUM(K9:K28)</f>
        <v>0</v>
      </c>
      <c r="L29" s="708">
        <f>SUM(L9:L28)</f>
        <v>0</v>
      </c>
      <c r="M29" s="708">
        <f>SUM(M9:M28)</f>
        <v>0</v>
      </c>
      <c r="N29" s="202"/>
      <c r="O29" s="708">
        <f aca="true" t="shared" si="45" ref="O29:AS29">SUM(O9:O28)</f>
        <v>-8438.275000000001</v>
      </c>
      <c r="P29" s="708">
        <f t="shared" si="45"/>
        <v>0</v>
      </c>
      <c r="Q29" s="708">
        <f t="shared" si="45"/>
        <v>0</v>
      </c>
      <c r="R29" s="708">
        <f t="shared" si="45"/>
        <v>0</v>
      </c>
      <c r="S29" s="708">
        <f t="shared" si="45"/>
        <v>0</v>
      </c>
      <c r="T29" s="708">
        <f t="shared" si="45"/>
        <v>12119.4375</v>
      </c>
      <c r="U29" s="708">
        <f t="shared" si="45"/>
        <v>0</v>
      </c>
      <c r="V29" s="708">
        <f t="shared" si="45"/>
        <v>0</v>
      </c>
      <c r="W29" s="708">
        <f t="shared" si="45"/>
        <v>0</v>
      </c>
      <c r="X29" s="708">
        <f t="shared" si="45"/>
        <v>0</v>
      </c>
      <c r="Y29" s="708">
        <f t="shared" si="45"/>
        <v>0</v>
      </c>
      <c r="Z29" s="708">
        <f t="shared" si="45"/>
        <v>0</v>
      </c>
      <c r="AA29" s="708">
        <f t="shared" si="45"/>
        <v>0</v>
      </c>
      <c r="AB29" s="708">
        <f t="shared" si="45"/>
        <v>0</v>
      </c>
      <c r="AC29" s="708">
        <f t="shared" si="45"/>
        <v>0</v>
      </c>
      <c r="AD29" s="708">
        <f t="shared" si="45"/>
        <v>0</v>
      </c>
      <c r="AE29" s="708">
        <f t="shared" si="45"/>
        <v>0</v>
      </c>
      <c r="AF29" s="708">
        <f t="shared" si="45"/>
        <v>0</v>
      </c>
      <c r="AG29" s="708">
        <f t="shared" si="45"/>
        <v>0</v>
      </c>
      <c r="AH29" s="708">
        <f t="shared" si="45"/>
        <v>0</v>
      </c>
      <c r="AI29" s="708">
        <f t="shared" si="45"/>
        <v>0</v>
      </c>
      <c r="AJ29" s="708">
        <f t="shared" si="45"/>
        <v>0</v>
      </c>
      <c r="AK29" s="708">
        <f t="shared" si="45"/>
        <v>0</v>
      </c>
      <c r="AL29" s="708">
        <f t="shared" si="45"/>
        <v>0</v>
      </c>
      <c r="AM29" s="708">
        <f t="shared" si="45"/>
        <v>-20557.7125</v>
      </c>
      <c r="AN29" s="708">
        <f t="shared" si="45"/>
        <v>0</v>
      </c>
      <c r="AO29" s="708">
        <f t="shared" si="45"/>
        <v>0</v>
      </c>
      <c r="AP29" s="708">
        <f t="shared" si="45"/>
        <v>0</v>
      </c>
      <c r="AQ29" s="708">
        <f t="shared" si="45"/>
        <v>0</v>
      </c>
      <c r="AR29" s="708">
        <f t="shared" si="45"/>
        <v>0</v>
      </c>
      <c r="AS29" s="708">
        <f t="shared" si="45"/>
        <v>0</v>
      </c>
      <c r="AT29" s="192"/>
      <c r="AU29" s="192"/>
      <c r="AV29" s="192"/>
      <c r="AW29" s="192">
        <f aca="true" t="shared" si="46" ref="AW29:BB29">SUM(AW9:AW28)</f>
        <v>0</v>
      </c>
      <c r="AX29" s="192">
        <f t="shared" si="46"/>
        <v>0</v>
      </c>
      <c r="AY29" s="192">
        <f t="shared" si="46"/>
        <v>0</v>
      </c>
      <c r="AZ29" s="192">
        <f t="shared" si="46"/>
        <v>0</v>
      </c>
      <c r="BA29" s="192">
        <f t="shared" si="46"/>
        <v>0</v>
      </c>
      <c r="BB29" s="192">
        <f t="shared" si="46"/>
        <v>0</v>
      </c>
      <c r="BC29" s="9"/>
      <c r="BD29" s="9"/>
    </row>
    <row r="30" spans="1:56" ht="12.75">
      <c r="A30" s="9"/>
      <c r="B30" s="693"/>
      <c r="C30" s="9"/>
      <c r="D30" s="693"/>
      <c r="E30" s="9"/>
      <c r="F30" s="9"/>
      <c r="G30" s="9"/>
      <c r="H30" s="9"/>
      <c r="I30" s="693"/>
      <c r="J30" s="693"/>
      <c r="K30" s="693"/>
      <c r="L30" s="693"/>
      <c r="M30" s="693"/>
      <c r="N30" s="9"/>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693"/>
      <c r="AN30" s="693"/>
      <c r="AO30" s="693"/>
      <c r="AP30" s="693"/>
      <c r="AQ30" s="693"/>
      <c r="AR30" s="693"/>
      <c r="AS30" s="693"/>
      <c r="AT30" s="9"/>
      <c r="AU30" s="9"/>
      <c r="AV30" s="9"/>
      <c r="AW30" s="9"/>
      <c r="AX30" s="9"/>
      <c r="AY30" s="9"/>
      <c r="AZ30" s="9"/>
      <c r="BA30" s="9"/>
      <c r="BB30" s="9"/>
      <c r="BC30" s="9"/>
      <c r="BD30" s="9"/>
    </row>
    <row r="31" spans="1:56" ht="12.75">
      <c r="A31" s="9"/>
      <c r="B31" s="693"/>
      <c r="C31" s="9"/>
      <c r="D31" s="693"/>
      <c r="E31" s="9"/>
      <c r="F31" s="9"/>
      <c r="G31" s="9"/>
      <c r="H31" s="9"/>
      <c r="I31" s="693"/>
      <c r="J31" s="693"/>
      <c r="K31" s="693"/>
      <c r="L31" s="693"/>
      <c r="M31" s="730" t="s">
        <v>230</v>
      </c>
      <c r="N31" s="133"/>
      <c r="O31" s="705"/>
      <c r="P31" s="705">
        <f aca="true" t="shared" si="47" ref="P31:AD31">P29</f>
        <v>0</v>
      </c>
      <c r="Q31" s="705">
        <f t="shared" si="47"/>
        <v>0</v>
      </c>
      <c r="R31" s="705">
        <f t="shared" si="47"/>
        <v>0</v>
      </c>
      <c r="S31" s="705">
        <f t="shared" si="47"/>
        <v>0</v>
      </c>
      <c r="T31" s="705">
        <f t="shared" si="47"/>
        <v>12119.4375</v>
      </c>
      <c r="U31" s="705">
        <f t="shared" si="47"/>
        <v>0</v>
      </c>
      <c r="V31" s="705">
        <f t="shared" si="47"/>
        <v>0</v>
      </c>
      <c r="W31" s="705">
        <f t="shared" si="47"/>
        <v>0</v>
      </c>
      <c r="X31" s="705">
        <f t="shared" si="47"/>
        <v>0</v>
      </c>
      <c r="Y31" s="705">
        <f t="shared" si="47"/>
        <v>0</v>
      </c>
      <c r="Z31" s="705">
        <f t="shared" si="47"/>
        <v>0</v>
      </c>
      <c r="AA31" s="705">
        <f t="shared" si="47"/>
        <v>0</v>
      </c>
      <c r="AB31" s="705">
        <f t="shared" si="47"/>
        <v>0</v>
      </c>
      <c r="AC31" s="705">
        <f t="shared" si="47"/>
        <v>0</v>
      </c>
      <c r="AD31" s="705">
        <f t="shared" si="47"/>
        <v>0</v>
      </c>
      <c r="AE31" s="705"/>
      <c r="AF31" s="693"/>
      <c r="AG31" s="693"/>
      <c r="AH31" s="693"/>
      <c r="AI31" s="693"/>
      <c r="AJ31" s="693"/>
      <c r="AK31" s="693"/>
      <c r="AL31" s="693"/>
      <c r="AM31" s="693"/>
      <c r="AN31" s="693"/>
      <c r="AO31" s="693"/>
      <c r="AP31" s="693"/>
      <c r="AQ31" s="693"/>
      <c r="AR31" s="693"/>
      <c r="AS31" s="693"/>
      <c r="AT31" s="9"/>
      <c r="AU31" s="9"/>
      <c r="AV31" s="9"/>
      <c r="AW31" s="9"/>
      <c r="AX31" s="9"/>
      <c r="AY31" s="9"/>
      <c r="AZ31" s="9"/>
      <c r="BA31" s="9"/>
      <c r="BB31" s="9"/>
      <c r="BC31" s="9"/>
      <c r="BD31" s="9"/>
    </row>
    <row r="32" spans="1:56" ht="12.75">
      <c r="A32" s="9"/>
      <c r="B32" s="693"/>
      <c r="C32" s="9"/>
      <c r="D32" s="693"/>
      <c r="E32" s="9"/>
      <c r="F32" s="9"/>
      <c r="G32" s="9"/>
      <c r="H32" s="9"/>
      <c r="I32" s="693"/>
      <c r="J32" s="693"/>
      <c r="K32" s="693"/>
      <c r="L32" s="693"/>
      <c r="M32" s="705" t="s">
        <v>231</v>
      </c>
      <c r="N32" s="133"/>
      <c r="O32" s="705"/>
      <c r="P32" s="705"/>
      <c r="Q32" s="705"/>
      <c r="R32" s="705"/>
      <c r="S32" s="705"/>
      <c r="T32" s="705"/>
      <c r="U32" s="705"/>
      <c r="V32" s="705"/>
      <c r="W32" s="705"/>
      <c r="X32" s="705"/>
      <c r="Y32" s="705"/>
      <c r="Z32" s="705"/>
      <c r="AA32" s="705"/>
      <c r="AB32" s="705"/>
      <c r="AC32" s="705"/>
      <c r="AD32" s="705"/>
      <c r="AE32" s="705"/>
      <c r="AF32" s="693"/>
      <c r="AG32" s="693"/>
      <c r="AH32" s="693"/>
      <c r="AI32" s="693"/>
      <c r="AJ32" s="693"/>
      <c r="AK32" s="693"/>
      <c r="AL32" s="693"/>
      <c r="AM32" s="693"/>
      <c r="AN32" s="693"/>
      <c r="AO32" s="693"/>
      <c r="AP32" s="693"/>
      <c r="AQ32" s="693"/>
      <c r="AR32" s="693"/>
      <c r="AS32" s="693"/>
      <c r="AT32" s="9"/>
      <c r="AU32" s="9"/>
      <c r="AV32" s="9"/>
      <c r="AW32" s="9"/>
      <c r="AX32" s="9"/>
      <c r="AY32" s="9"/>
      <c r="AZ32" s="9"/>
      <c r="BA32" s="9"/>
      <c r="BB32" s="9"/>
      <c r="BC32" s="9"/>
      <c r="BD32" s="9"/>
    </row>
    <row r="33" spans="1:56" ht="12.75">
      <c r="A33" s="9"/>
      <c r="B33" s="693"/>
      <c r="C33" s="9"/>
      <c r="D33" s="693"/>
      <c r="E33" s="9"/>
      <c r="F33" s="9"/>
      <c r="G33" s="9"/>
      <c r="H33" s="9"/>
      <c r="I33" s="693"/>
      <c r="J33" s="693"/>
      <c r="K33" s="693"/>
      <c r="L33" s="693"/>
      <c r="M33" s="730" t="s">
        <v>232</v>
      </c>
      <c r="N33" s="133"/>
      <c r="O33" s="705"/>
      <c r="P33" s="705">
        <f aca="true" t="shared" si="48" ref="P33:AD33">AE29</f>
        <v>0</v>
      </c>
      <c r="Q33" s="705">
        <f t="shared" si="48"/>
        <v>0</v>
      </c>
      <c r="R33" s="705">
        <f t="shared" si="48"/>
        <v>0</v>
      </c>
      <c r="S33" s="705">
        <f t="shared" si="48"/>
        <v>0</v>
      </c>
      <c r="T33" s="705">
        <f t="shared" si="48"/>
        <v>0</v>
      </c>
      <c r="U33" s="705">
        <f t="shared" si="48"/>
        <v>0</v>
      </c>
      <c r="V33" s="705">
        <f t="shared" si="48"/>
        <v>0</v>
      </c>
      <c r="W33" s="705">
        <f t="shared" si="48"/>
        <v>0</v>
      </c>
      <c r="X33" s="705">
        <f t="shared" si="48"/>
        <v>-20557.7125</v>
      </c>
      <c r="Y33" s="705">
        <f t="shared" si="48"/>
        <v>0</v>
      </c>
      <c r="Z33" s="705">
        <f t="shared" si="48"/>
        <v>0</v>
      </c>
      <c r="AA33" s="705">
        <f t="shared" si="48"/>
        <v>0</v>
      </c>
      <c r="AB33" s="705">
        <f t="shared" si="48"/>
        <v>0</v>
      </c>
      <c r="AC33" s="705">
        <f t="shared" si="48"/>
        <v>0</v>
      </c>
      <c r="AD33" s="705">
        <f t="shared" si="48"/>
        <v>0</v>
      </c>
      <c r="AE33" s="705"/>
      <c r="AF33" s="693"/>
      <c r="AG33" s="693"/>
      <c r="AH33" s="693"/>
      <c r="AI33" s="693"/>
      <c r="AJ33" s="693"/>
      <c r="AK33" s="693"/>
      <c r="AL33" s="693"/>
      <c r="AM33" s="693"/>
      <c r="AN33" s="693"/>
      <c r="AO33" s="693"/>
      <c r="AP33" s="693"/>
      <c r="AQ33" s="693"/>
      <c r="AR33" s="693"/>
      <c r="AS33" s="693"/>
      <c r="AT33" s="9"/>
      <c r="AU33" s="9"/>
      <c r="AV33" s="9"/>
      <c r="AW33" s="9"/>
      <c r="AX33" s="9"/>
      <c r="AY33" s="9"/>
      <c r="AZ33" s="9"/>
      <c r="BA33" s="9"/>
      <c r="BB33" s="9"/>
      <c r="BC33" s="9"/>
      <c r="BD33" s="9"/>
    </row>
    <row r="34" spans="1:56" ht="12.75">
      <c r="A34" s="9"/>
      <c r="B34" s="693"/>
      <c r="C34" s="9"/>
      <c r="D34" s="693"/>
      <c r="E34" s="9"/>
      <c r="F34" s="9"/>
      <c r="G34" s="9"/>
      <c r="H34" s="9"/>
      <c r="I34" s="693"/>
      <c r="J34" s="693"/>
      <c r="K34" s="693"/>
      <c r="L34" s="693"/>
      <c r="M34" s="730" t="s">
        <v>233</v>
      </c>
      <c r="N34" s="133"/>
      <c r="O34" s="705"/>
      <c r="P34" s="705"/>
      <c r="Q34" s="705"/>
      <c r="R34" s="705"/>
      <c r="S34" s="705"/>
      <c r="T34" s="705"/>
      <c r="U34" s="705"/>
      <c r="V34" s="705"/>
      <c r="W34" s="705"/>
      <c r="X34" s="705"/>
      <c r="Y34" s="705"/>
      <c r="Z34" s="705"/>
      <c r="AA34" s="705"/>
      <c r="AB34" s="705"/>
      <c r="AC34" s="705"/>
      <c r="AD34" s="705"/>
      <c r="AE34" s="705"/>
      <c r="AF34" s="693"/>
      <c r="AG34" s="693"/>
      <c r="AH34" s="693"/>
      <c r="AI34" s="693"/>
      <c r="AJ34" s="693"/>
      <c r="AK34" s="693"/>
      <c r="AL34" s="693"/>
      <c r="AM34" s="693"/>
      <c r="AN34" s="693"/>
      <c r="AO34" s="693"/>
      <c r="AP34" s="693"/>
      <c r="AQ34" s="693"/>
      <c r="AR34" s="693"/>
      <c r="AS34" s="693"/>
      <c r="AT34" s="9"/>
      <c r="AU34" s="9"/>
      <c r="AV34" s="9"/>
      <c r="AW34" s="9"/>
      <c r="AX34" s="9"/>
      <c r="AY34" s="9"/>
      <c r="AZ34" s="9"/>
      <c r="BA34" s="9"/>
      <c r="BB34" s="9"/>
      <c r="BC34" s="9"/>
      <c r="BD34" s="9"/>
    </row>
    <row r="35" spans="1:56" ht="12.75">
      <c r="A35" s="9"/>
      <c r="B35" s="693"/>
      <c r="C35" s="9"/>
      <c r="D35" s="693"/>
      <c r="E35" s="9"/>
      <c r="F35" s="9"/>
      <c r="G35" s="9"/>
      <c r="H35" s="9"/>
      <c r="I35" s="693"/>
      <c r="J35" s="693"/>
      <c r="K35" s="693"/>
      <c r="L35" s="693"/>
      <c r="M35" s="705" t="s">
        <v>234</v>
      </c>
      <c r="N35" s="133"/>
      <c r="O35" s="705" t="s">
        <v>13</v>
      </c>
      <c r="P35" s="705">
        <f>IF(P31&lt;-P33,P31,P33)</f>
        <v>0</v>
      </c>
      <c r="Q35" s="705">
        <f>IF(Q31&lt;-Q33,Q31,Q33)</f>
        <v>0</v>
      </c>
      <c r="R35" s="705">
        <f aca="true" t="shared" si="49" ref="R35:AD35">IF(R31&lt;-R33,R31,R33)</f>
        <v>0</v>
      </c>
      <c r="S35" s="705">
        <f t="shared" si="49"/>
        <v>0</v>
      </c>
      <c r="T35" s="705">
        <f t="shared" si="49"/>
        <v>0</v>
      </c>
      <c r="U35" s="705">
        <f t="shared" si="49"/>
        <v>0</v>
      </c>
      <c r="V35" s="705">
        <f t="shared" si="49"/>
        <v>0</v>
      </c>
      <c r="W35" s="705">
        <f t="shared" si="49"/>
        <v>0</v>
      </c>
      <c r="X35" s="705">
        <f t="shared" si="49"/>
        <v>0</v>
      </c>
      <c r="Y35" s="705">
        <f t="shared" si="49"/>
        <v>0</v>
      </c>
      <c r="Z35" s="705">
        <f t="shared" si="49"/>
        <v>0</v>
      </c>
      <c r="AA35" s="705">
        <f t="shared" si="49"/>
        <v>0</v>
      </c>
      <c r="AB35" s="705">
        <f t="shared" si="49"/>
        <v>0</v>
      </c>
      <c r="AC35" s="705">
        <f t="shared" si="49"/>
        <v>0</v>
      </c>
      <c r="AD35" s="705">
        <f t="shared" si="49"/>
        <v>0</v>
      </c>
      <c r="AE35" s="709" t="s">
        <v>152</v>
      </c>
      <c r="AF35" s="693" t="s">
        <v>13</v>
      </c>
      <c r="AG35" s="693"/>
      <c r="AH35" s="693"/>
      <c r="AI35" s="693"/>
      <c r="AJ35" s="693"/>
      <c r="AK35" s="693"/>
      <c r="AL35" s="693"/>
      <c r="AM35" s="693"/>
      <c r="AN35" s="693"/>
      <c r="AO35" s="693"/>
      <c r="AP35" s="693"/>
      <c r="AQ35" s="693"/>
      <c r="AR35" s="693"/>
      <c r="AS35" s="693"/>
      <c r="AT35" s="9"/>
      <c r="AU35" s="9"/>
      <c r="AV35" s="9"/>
      <c r="AW35" s="9"/>
      <c r="AX35" s="9"/>
      <c r="AY35" s="9"/>
      <c r="AZ35" s="9"/>
      <c r="BA35" s="9"/>
      <c r="BB35" s="9"/>
      <c r="BC35" s="9"/>
      <c r="BD35" s="9"/>
    </row>
    <row r="36" spans="1:56" ht="12.75">
      <c r="A36" s="9"/>
      <c r="B36" s="693"/>
      <c r="C36" s="9"/>
      <c r="D36" s="693"/>
      <c r="E36" s="9"/>
      <c r="F36" s="9"/>
      <c r="G36" s="9"/>
      <c r="H36" s="9"/>
      <c r="I36" s="693"/>
      <c r="J36" s="693"/>
      <c r="K36" s="693"/>
      <c r="L36" s="693"/>
      <c r="M36" s="705" t="s">
        <v>235</v>
      </c>
      <c r="N36" s="133"/>
      <c r="O36" s="705"/>
      <c r="P36" s="705">
        <f>ABS(P35)</f>
        <v>0</v>
      </c>
      <c r="Q36" s="705">
        <f aca="true" t="shared" si="50" ref="Q36:AD36">ABS(Q35)</f>
        <v>0</v>
      </c>
      <c r="R36" s="705">
        <f t="shared" si="50"/>
        <v>0</v>
      </c>
      <c r="S36" s="705">
        <f t="shared" si="50"/>
        <v>0</v>
      </c>
      <c r="T36" s="705">
        <f t="shared" si="50"/>
        <v>0</v>
      </c>
      <c r="U36" s="705">
        <f t="shared" si="50"/>
        <v>0</v>
      </c>
      <c r="V36" s="705">
        <f t="shared" si="50"/>
        <v>0</v>
      </c>
      <c r="W36" s="705">
        <f t="shared" si="50"/>
        <v>0</v>
      </c>
      <c r="X36" s="705">
        <f t="shared" si="50"/>
        <v>0</v>
      </c>
      <c r="Y36" s="705">
        <f t="shared" si="50"/>
        <v>0</v>
      </c>
      <c r="Z36" s="705">
        <f t="shared" si="50"/>
        <v>0</v>
      </c>
      <c r="AA36" s="705">
        <f t="shared" si="50"/>
        <v>0</v>
      </c>
      <c r="AB36" s="705">
        <f t="shared" si="50"/>
        <v>0</v>
      </c>
      <c r="AC36" s="705">
        <f t="shared" si="50"/>
        <v>0</v>
      </c>
      <c r="AD36" s="705">
        <f t="shared" si="50"/>
        <v>0</v>
      </c>
      <c r="AE36" s="705">
        <f>SUM(P36:AD36)</f>
        <v>0</v>
      </c>
      <c r="AF36" s="693"/>
      <c r="AG36" s="693"/>
      <c r="AH36" s="693"/>
      <c r="AI36" s="693"/>
      <c r="AJ36" s="693"/>
      <c r="AK36" s="693"/>
      <c r="AL36" s="693"/>
      <c r="AM36" s="693"/>
      <c r="AN36" s="693"/>
      <c r="AO36" s="693"/>
      <c r="AP36" s="693"/>
      <c r="AQ36" s="693"/>
      <c r="AR36" s="693"/>
      <c r="AS36" s="693"/>
      <c r="AT36" s="9"/>
      <c r="AU36" s="9"/>
      <c r="AV36" s="9"/>
      <c r="AW36" s="9"/>
      <c r="AX36" s="9"/>
      <c r="AY36" s="9"/>
      <c r="AZ36" s="9"/>
      <c r="BA36" s="9"/>
      <c r="BB36" s="9"/>
      <c r="BC36" s="9"/>
      <c r="BD36" s="9"/>
    </row>
    <row r="37" spans="1:56" ht="12.75">
      <c r="A37" s="9"/>
      <c r="B37" s="693"/>
      <c r="C37" s="9"/>
      <c r="D37" s="693"/>
      <c r="E37" s="9"/>
      <c r="F37" s="9"/>
      <c r="G37" s="9"/>
      <c r="H37" s="9"/>
      <c r="I37" s="693"/>
      <c r="J37" s="693"/>
      <c r="K37" s="693"/>
      <c r="L37" s="693"/>
      <c r="M37" s="730" t="s">
        <v>236</v>
      </c>
      <c r="N37" s="133"/>
      <c r="O37" s="705"/>
      <c r="P37" s="705">
        <f>P35+IF(P35=P31,P33,P31)</f>
        <v>0</v>
      </c>
      <c r="Q37" s="705">
        <f>Q35+IF(Q35=Q31,Q33,Q31)</f>
        <v>0</v>
      </c>
      <c r="R37" s="705">
        <f aca="true" t="shared" si="51" ref="R37:AD37">R35+IF(R35=R31,R33,R31)</f>
        <v>0</v>
      </c>
      <c r="S37" s="705">
        <f t="shared" si="51"/>
        <v>0</v>
      </c>
      <c r="T37" s="705">
        <f t="shared" si="51"/>
        <v>12119.4375</v>
      </c>
      <c r="U37" s="705">
        <f t="shared" si="51"/>
        <v>0</v>
      </c>
      <c r="V37" s="705">
        <f t="shared" si="51"/>
        <v>0</v>
      </c>
      <c r="W37" s="705">
        <f t="shared" si="51"/>
        <v>0</v>
      </c>
      <c r="X37" s="705">
        <f t="shared" si="51"/>
        <v>-20557.7125</v>
      </c>
      <c r="Y37" s="705">
        <f t="shared" si="51"/>
        <v>0</v>
      </c>
      <c r="Z37" s="705">
        <f t="shared" si="51"/>
        <v>0</v>
      </c>
      <c r="AA37" s="705">
        <f t="shared" si="51"/>
        <v>0</v>
      </c>
      <c r="AB37" s="705">
        <f t="shared" si="51"/>
        <v>0</v>
      </c>
      <c r="AC37" s="705">
        <f t="shared" si="51"/>
        <v>0</v>
      </c>
      <c r="AD37" s="705">
        <f t="shared" si="51"/>
        <v>0</v>
      </c>
      <c r="AE37" s="705"/>
      <c r="AF37" s="693">
        <f>SUM(P37:AE37)</f>
        <v>-8438.275000000001</v>
      </c>
      <c r="AG37" s="693" t="s">
        <v>13</v>
      </c>
      <c r="AH37" s="693"/>
      <c r="AI37" s="693"/>
      <c r="AJ37" s="693"/>
      <c r="AK37" s="693"/>
      <c r="AL37" s="693"/>
      <c r="AM37" s="693"/>
      <c r="AN37" s="693"/>
      <c r="AO37" s="693"/>
      <c r="AP37" s="693"/>
      <c r="AQ37" s="693"/>
      <c r="AR37" s="693"/>
      <c r="AS37" s="693"/>
      <c r="AT37" s="9"/>
      <c r="AU37" s="9"/>
      <c r="AV37" s="9"/>
      <c r="AW37" s="9"/>
      <c r="AX37" s="9"/>
      <c r="AY37" s="9"/>
      <c r="AZ37" s="9"/>
      <c r="BA37" s="9"/>
      <c r="BB37" s="9"/>
      <c r="BC37" s="9"/>
      <c r="BD37" s="9"/>
    </row>
    <row r="38" spans="1:56" ht="12.75">
      <c r="A38" s="9"/>
      <c r="B38" s="693"/>
      <c r="C38" s="9"/>
      <c r="D38" s="693"/>
      <c r="E38" s="9"/>
      <c r="F38" s="9"/>
      <c r="G38" s="9"/>
      <c r="H38" s="9"/>
      <c r="I38" s="693"/>
      <c r="J38" s="693"/>
      <c r="K38" s="693"/>
      <c r="L38" s="693"/>
      <c r="M38" s="730" t="s">
        <v>237</v>
      </c>
      <c r="N38" s="133"/>
      <c r="O38" s="705"/>
      <c r="P38" s="705">
        <f>MAX(P37,0)</f>
        <v>0</v>
      </c>
      <c r="Q38" s="705">
        <f aca="true" t="shared" si="52" ref="Q38:AD38">MAX(Q37,0)</f>
        <v>0</v>
      </c>
      <c r="R38" s="705">
        <f t="shared" si="52"/>
        <v>0</v>
      </c>
      <c r="S38" s="705">
        <f t="shared" si="52"/>
        <v>0</v>
      </c>
      <c r="T38" s="705">
        <f t="shared" si="52"/>
        <v>12119.4375</v>
      </c>
      <c r="U38" s="705">
        <f t="shared" si="52"/>
        <v>0</v>
      </c>
      <c r="V38" s="705">
        <f t="shared" si="52"/>
        <v>0</v>
      </c>
      <c r="W38" s="705">
        <f t="shared" si="52"/>
        <v>0</v>
      </c>
      <c r="X38" s="705">
        <f t="shared" si="52"/>
        <v>0</v>
      </c>
      <c r="Y38" s="705">
        <f t="shared" si="52"/>
        <v>0</v>
      </c>
      <c r="Z38" s="705">
        <f t="shared" si="52"/>
        <v>0</v>
      </c>
      <c r="AA38" s="705">
        <f t="shared" si="52"/>
        <v>0</v>
      </c>
      <c r="AB38" s="705">
        <f t="shared" si="52"/>
        <v>0</v>
      </c>
      <c r="AC38" s="705">
        <f t="shared" si="52"/>
        <v>0</v>
      </c>
      <c r="AD38" s="705">
        <f t="shared" si="52"/>
        <v>0</v>
      </c>
      <c r="AE38" s="705"/>
      <c r="AF38" s="693"/>
      <c r="AG38" s="693"/>
      <c r="AH38" s="693"/>
      <c r="AI38" s="693"/>
      <c r="AJ38" s="693"/>
      <c r="AK38" s="693"/>
      <c r="AL38" s="693"/>
      <c r="AM38" s="693"/>
      <c r="AN38" s="693"/>
      <c r="AO38" s="693"/>
      <c r="AP38" s="693"/>
      <c r="AQ38" s="693"/>
      <c r="AR38" s="693"/>
      <c r="AS38" s="693"/>
      <c r="AT38" s="9"/>
      <c r="AU38" s="9"/>
      <c r="AV38" s="9"/>
      <c r="AW38" s="9"/>
      <c r="AX38" s="9"/>
      <c r="AY38" s="9"/>
      <c r="AZ38" s="9"/>
      <c r="BA38" s="9"/>
      <c r="BB38" s="9"/>
      <c r="BC38" s="9"/>
      <c r="BD38" s="9"/>
    </row>
    <row r="39" spans="1:56" ht="12.75">
      <c r="A39" s="9"/>
      <c r="B39" s="693"/>
      <c r="C39" s="9"/>
      <c r="D39" s="693"/>
      <c r="E39" s="9"/>
      <c r="F39" s="9"/>
      <c r="G39" s="9"/>
      <c r="H39" s="9"/>
      <c r="I39" s="693"/>
      <c r="J39" s="693"/>
      <c r="K39" s="693"/>
      <c r="L39" s="693"/>
      <c r="M39" s="730" t="s">
        <v>238</v>
      </c>
      <c r="N39" s="133"/>
      <c r="O39" s="705"/>
      <c r="P39" s="705">
        <f>MIN(P37,0)</f>
        <v>0</v>
      </c>
      <c r="Q39" s="705">
        <f aca="true" t="shared" si="53" ref="Q39:AD39">MIN(Q37,0)</f>
        <v>0</v>
      </c>
      <c r="R39" s="705">
        <f t="shared" si="53"/>
        <v>0</v>
      </c>
      <c r="S39" s="705">
        <f t="shared" si="53"/>
        <v>0</v>
      </c>
      <c r="T39" s="705">
        <f t="shared" si="53"/>
        <v>0</v>
      </c>
      <c r="U39" s="705">
        <f t="shared" si="53"/>
        <v>0</v>
      </c>
      <c r="V39" s="705">
        <f t="shared" si="53"/>
        <v>0</v>
      </c>
      <c r="W39" s="705">
        <f t="shared" si="53"/>
        <v>0</v>
      </c>
      <c r="X39" s="705">
        <f t="shared" si="53"/>
        <v>-20557.7125</v>
      </c>
      <c r="Y39" s="705">
        <f t="shared" si="53"/>
        <v>0</v>
      </c>
      <c r="Z39" s="705">
        <f t="shared" si="53"/>
        <v>0</v>
      </c>
      <c r="AA39" s="705">
        <f t="shared" si="53"/>
        <v>0</v>
      </c>
      <c r="AB39" s="705">
        <f t="shared" si="53"/>
        <v>0</v>
      </c>
      <c r="AC39" s="705">
        <f t="shared" si="53"/>
        <v>0</v>
      </c>
      <c r="AD39" s="705">
        <f t="shared" si="53"/>
        <v>0</v>
      </c>
      <c r="AE39" s="705"/>
      <c r="AF39" s="693"/>
      <c r="AG39" s="693"/>
      <c r="AH39" s="693"/>
      <c r="AI39" s="693"/>
      <c r="AJ39" s="693"/>
      <c r="AK39" s="693"/>
      <c r="AL39" s="693"/>
      <c r="AM39" s="693"/>
      <c r="AN39" s="693"/>
      <c r="AO39" s="693"/>
      <c r="AP39" s="693"/>
      <c r="AQ39" s="693"/>
      <c r="AR39" s="693"/>
      <c r="AS39" s="693"/>
      <c r="AT39" s="9"/>
      <c r="AU39" s="9"/>
      <c r="AV39" s="9"/>
      <c r="AW39" s="9"/>
      <c r="AX39" s="9"/>
      <c r="AY39" s="9"/>
      <c r="AZ39" s="9"/>
      <c r="BA39" s="9"/>
      <c r="BB39" s="9"/>
      <c r="BC39" s="9"/>
      <c r="BD39" s="9"/>
    </row>
    <row r="40" spans="1:56" ht="12.75">
      <c r="A40" s="9"/>
      <c r="B40" s="693"/>
      <c r="C40" s="9"/>
      <c r="D40" s="693"/>
      <c r="E40" s="9"/>
      <c r="F40" s="9"/>
      <c r="G40" s="9"/>
      <c r="H40" s="9"/>
      <c r="I40" s="693"/>
      <c r="J40" s="693"/>
      <c r="K40" s="693"/>
      <c r="L40" s="693"/>
      <c r="M40" s="705"/>
      <c r="N40" s="133"/>
      <c r="O40" s="705"/>
      <c r="P40" s="709" t="s">
        <v>239</v>
      </c>
      <c r="Q40" s="709" t="s">
        <v>240</v>
      </c>
      <c r="R40" s="709" t="s">
        <v>241</v>
      </c>
      <c r="S40" s="705"/>
      <c r="T40" s="705"/>
      <c r="U40" s="705"/>
      <c r="V40" s="705"/>
      <c r="W40" s="705"/>
      <c r="X40" s="705"/>
      <c r="Y40" s="705"/>
      <c r="Z40" s="705"/>
      <c r="AA40" s="705"/>
      <c r="AB40" s="705"/>
      <c r="AC40" s="705"/>
      <c r="AD40" s="705"/>
      <c r="AE40" s="705"/>
      <c r="AF40" s="693"/>
      <c r="AG40" s="693"/>
      <c r="AH40" s="693"/>
      <c r="AI40" s="693"/>
      <c r="AJ40" s="693"/>
      <c r="AK40" s="693"/>
      <c r="AL40" s="693"/>
      <c r="AM40" s="693"/>
      <c r="AN40" s="693"/>
      <c r="AO40" s="693"/>
      <c r="AP40" s="693"/>
      <c r="AQ40" s="693"/>
      <c r="AR40" s="693"/>
      <c r="AS40" s="693"/>
      <c r="AT40" s="9"/>
      <c r="AU40" s="9"/>
      <c r="AV40" s="9"/>
      <c r="AW40" s="9"/>
      <c r="AX40" s="9"/>
      <c r="AY40" s="9"/>
      <c r="AZ40" s="9"/>
      <c r="BA40" s="9"/>
      <c r="BB40" s="9"/>
      <c r="BC40" s="9"/>
      <c r="BD40" s="9"/>
    </row>
    <row r="41" spans="1:56" ht="12.75">
      <c r="A41" s="9"/>
      <c r="B41" s="693"/>
      <c r="C41" s="9"/>
      <c r="D41" s="693"/>
      <c r="E41" s="9"/>
      <c r="F41" s="9"/>
      <c r="G41" s="9"/>
      <c r="H41" s="9"/>
      <c r="I41" s="693"/>
      <c r="J41" s="693"/>
      <c r="K41" s="693"/>
      <c r="L41" s="693"/>
      <c r="M41" s="731" t="s">
        <v>242</v>
      </c>
      <c r="N41" s="21"/>
      <c r="O41" s="706"/>
      <c r="P41" s="705">
        <f>SUM(P38:S38)</f>
        <v>0</v>
      </c>
      <c r="Q41" s="705">
        <f>SUM(T38:V38)</f>
        <v>12119.4375</v>
      </c>
      <c r="R41" s="705">
        <f>SUM(W38:AD38)</f>
        <v>0</v>
      </c>
      <c r="S41" s="705"/>
      <c r="T41" s="705"/>
      <c r="U41" s="705"/>
      <c r="V41" s="705"/>
      <c r="W41" s="705"/>
      <c r="X41" s="705"/>
      <c r="Y41" s="705"/>
      <c r="Z41" s="705"/>
      <c r="AA41" s="705"/>
      <c r="AB41" s="705"/>
      <c r="AC41" s="705"/>
      <c r="AD41" s="705"/>
      <c r="AE41" s="705"/>
      <c r="AF41" s="693"/>
      <c r="AG41" s="693"/>
      <c r="AH41" s="693"/>
      <c r="AI41" s="693"/>
      <c r="AJ41" s="693"/>
      <c r="AK41" s="693"/>
      <c r="AL41" s="693"/>
      <c r="AM41" s="693"/>
      <c r="AN41" s="693"/>
      <c r="AO41" s="693"/>
      <c r="AP41" s="693"/>
      <c r="AQ41" s="693"/>
      <c r="AR41" s="693"/>
      <c r="AS41" s="693"/>
      <c r="AT41" s="9"/>
      <c r="AU41" s="9"/>
      <c r="AV41" s="9"/>
      <c r="AW41" s="9"/>
      <c r="AX41" s="9"/>
      <c r="AY41" s="9"/>
      <c r="AZ41" s="9"/>
      <c r="BA41" s="9"/>
      <c r="BB41" s="9"/>
      <c r="BC41" s="9"/>
      <c r="BD41" s="9"/>
    </row>
    <row r="42" spans="1:56" ht="12.75">
      <c r="A42" s="9"/>
      <c r="B42" s="693"/>
      <c r="C42" s="9"/>
      <c r="D42" s="693"/>
      <c r="E42" s="9"/>
      <c r="F42" s="9"/>
      <c r="G42" s="9"/>
      <c r="H42" s="9"/>
      <c r="I42" s="693"/>
      <c r="J42" s="693"/>
      <c r="K42" s="693"/>
      <c r="L42" s="693"/>
      <c r="M42" s="732" t="s">
        <v>243</v>
      </c>
      <c r="N42" s="204"/>
      <c r="O42" s="707"/>
      <c r="P42" s="705"/>
      <c r="Q42" s="705"/>
      <c r="R42" s="705"/>
      <c r="S42" s="705"/>
      <c r="T42" s="705"/>
      <c r="U42" s="705"/>
      <c r="V42" s="705"/>
      <c r="W42" s="705"/>
      <c r="X42" s="705"/>
      <c r="Y42" s="705"/>
      <c r="Z42" s="705"/>
      <c r="AA42" s="705"/>
      <c r="AB42" s="705"/>
      <c r="AC42" s="705"/>
      <c r="AD42" s="705"/>
      <c r="AE42" s="705"/>
      <c r="AF42" s="693"/>
      <c r="AG42" s="693"/>
      <c r="AH42" s="693"/>
      <c r="AI42" s="693"/>
      <c r="AJ42" s="693"/>
      <c r="AK42" s="693"/>
      <c r="AL42" s="693"/>
      <c r="AM42" s="693"/>
      <c r="AN42" s="693"/>
      <c r="AO42" s="693"/>
      <c r="AP42" s="693"/>
      <c r="AQ42" s="693"/>
      <c r="AR42" s="693"/>
      <c r="AS42" s="693"/>
      <c r="AT42" s="9"/>
      <c r="AU42" s="9"/>
      <c r="AV42" s="9"/>
      <c r="AW42" s="9"/>
      <c r="AX42" s="9"/>
      <c r="AY42" s="9"/>
      <c r="AZ42" s="9"/>
      <c r="BA42" s="9"/>
      <c r="BB42" s="9"/>
      <c r="BC42" s="9"/>
      <c r="BD42" s="9"/>
    </row>
    <row r="43" spans="1:56" ht="12.75">
      <c r="A43" s="9"/>
      <c r="B43" s="693"/>
      <c r="C43" s="9"/>
      <c r="D43" s="693"/>
      <c r="E43" s="9"/>
      <c r="F43" s="9"/>
      <c r="G43" s="9"/>
      <c r="H43" s="9"/>
      <c r="I43" s="693"/>
      <c r="J43" s="693"/>
      <c r="K43" s="693"/>
      <c r="L43" s="693"/>
      <c r="M43" s="731" t="s">
        <v>242</v>
      </c>
      <c r="N43" s="21"/>
      <c r="O43" s="706"/>
      <c r="P43" s="705">
        <f>SUM(P39:S39)</f>
        <v>0</v>
      </c>
      <c r="Q43" s="705">
        <f>SUM(T39:V39)</f>
        <v>0</v>
      </c>
      <c r="R43" s="705">
        <f>SUM(W39:AD39)</f>
        <v>-20557.7125</v>
      </c>
      <c r="S43" s="705"/>
      <c r="T43" s="705"/>
      <c r="U43" s="705"/>
      <c r="V43" s="705"/>
      <c r="W43" s="705"/>
      <c r="X43" s="705"/>
      <c r="Y43" s="705"/>
      <c r="Z43" s="705"/>
      <c r="AA43" s="705"/>
      <c r="AB43" s="705"/>
      <c r="AC43" s="705"/>
      <c r="AD43" s="705"/>
      <c r="AE43" s="705"/>
      <c r="AF43" s="693"/>
      <c r="AG43" s="693"/>
      <c r="AH43" s="693"/>
      <c r="AI43" s="693"/>
      <c r="AJ43" s="693"/>
      <c r="AK43" s="693"/>
      <c r="AL43" s="693"/>
      <c r="AM43" s="693"/>
      <c r="AN43" s="693"/>
      <c r="AO43" s="693"/>
      <c r="AP43" s="693"/>
      <c r="AQ43" s="693"/>
      <c r="AR43" s="693"/>
      <c r="AS43" s="693"/>
      <c r="AT43" s="9"/>
      <c r="AU43" s="9"/>
      <c r="AV43" s="9"/>
      <c r="AW43" s="9"/>
      <c r="AX43" s="9"/>
      <c r="AY43" s="9"/>
      <c r="AZ43" s="9"/>
      <c r="BA43" s="9"/>
      <c r="BB43" s="9"/>
      <c r="BC43" s="9"/>
      <c r="BD43" s="9"/>
    </row>
    <row r="44" spans="1:56" ht="12.75">
      <c r="A44" s="9"/>
      <c r="B44" s="693"/>
      <c r="C44" s="9"/>
      <c r="D44" s="693"/>
      <c r="E44" s="9"/>
      <c r="F44" s="9"/>
      <c r="G44" s="9"/>
      <c r="H44" s="9"/>
      <c r="I44" s="693"/>
      <c r="J44" s="693"/>
      <c r="K44" s="693"/>
      <c r="L44" s="693"/>
      <c r="M44" s="732" t="s">
        <v>244</v>
      </c>
      <c r="N44" s="204"/>
      <c r="O44" s="707"/>
      <c r="P44" s="705"/>
      <c r="Q44" s="705"/>
      <c r="R44" s="705"/>
      <c r="S44" s="705"/>
      <c r="T44" s="705"/>
      <c r="U44" s="705"/>
      <c r="V44" s="705"/>
      <c r="W44" s="705"/>
      <c r="X44" s="705"/>
      <c r="Y44" s="705"/>
      <c r="Z44" s="705"/>
      <c r="AA44" s="705"/>
      <c r="AB44" s="705"/>
      <c r="AC44" s="705"/>
      <c r="AD44" s="705"/>
      <c r="AE44" s="705"/>
      <c r="AF44" s="693"/>
      <c r="AG44" s="693"/>
      <c r="AH44" s="693"/>
      <c r="AI44" s="693"/>
      <c r="AJ44" s="693"/>
      <c r="AK44" s="693"/>
      <c r="AL44" s="693"/>
      <c r="AM44" s="693"/>
      <c r="AN44" s="693"/>
      <c r="AO44" s="693"/>
      <c r="AP44" s="693"/>
      <c r="AQ44" s="693"/>
      <c r="AR44" s="693"/>
      <c r="AS44" s="693"/>
      <c r="AT44" s="9"/>
      <c r="AU44" s="9"/>
      <c r="AV44" s="9"/>
      <c r="AW44" s="9"/>
      <c r="AX44" s="9"/>
      <c r="AY44" s="9"/>
      <c r="AZ44" s="9"/>
      <c r="BA44" s="9"/>
      <c r="BB44" s="9"/>
      <c r="BC44" s="9"/>
      <c r="BD44" s="9"/>
    </row>
    <row r="45" spans="1:56" ht="12.75">
      <c r="A45" s="9"/>
      <c r="B45" s="693"/>
      <c r="C45" s="9"/>
      <c r="D45" s="693"/>
      <c r="E45" s="9"/>
      <c r="F45" s="9"/>
      <c r="G45" s="9"/>
      <c r="H45" s="9"/>
      <c r="I45" s="693"/>
      <c r="J45" s="693"/>
      <c r="K45" s="693"/>
      <c r="L45" s="693"/>
      <c r="M45" s="693"/>
      <c r="N45" s="9"/>
      <c r="O45" s="693"/>
      <c r="P45" s="693"/>
      <c r="Q45" s="693"/>
      <c r="R45" s="693"/>
      <c r="S45" s="693"/>
      <c r="T45" s="693"/>
      <c r="U45" s="693"/>
      <c r="V45" s="693"/>
      <c r="W45" s="693"/>
      <c r="X45" s="693"/>
      <c r="Y45" s="693"/>
      <c r="Z45" s="693"/>
      <c r="AA45" s="693"/>
      <c r="AB45" s="693"/>
      <c r="AC45" s="693"/>
      <c r="AD45" s="693"/>
      <c r="AE45" s="693"/>
      <c r="AF45" s="693"/>
      <c r="AG45" s="693"/>
      <c r="AH45" s="693"/>
      <c r="AI45" s="693"/>
      <c r="AJ45" s="693"/>
      <c r="AK45" s="693"/>
      <c r="AL45" s="693"/>
      <c r="AM45" s="693"/>
      <c r="AN45" s="693"/>
      <c r="AO45" s="693"/>
      <c r="AP45" s="693"/>
      <c r="AQ45" s="693"/>
      <c r="AR45" s="693"/>
      <c r="AS45" s="693"/>
      <c r="AT45" s="9"/>
      <c r="AU45" s="9"/>
      <c r="AV45" s="9"/>
      <c r="AW45" s="9"/>
      <c r="AX45" s="9"/>
      <c r="AY45" s="9"/>
      <c r="AZ45" s="9"/>
      <c r="BA45" s="9"/>
      <c r="BB45" s="9"/>
      <c r="BC45" s="9"/>
      <c r="BD45" s="9"/>
    </row>
    <row r="46" spans="1:56" ht="12.75">
      <c r="A46" s="9"/>
      <c r="B46" s="693"/>
      <c r="C46" s="9"/>
      <c r="D46" s="693"/>
      <c r="E46" s="9"/>
      <c r="F46" s="9"/>
      <c r="G46" s="9"/>
      <c r="H46" s="9"/>
      <c r="I46" s="693"/>
      <c r="J46" s="693"/>
      <c r="K46" s="693"/>
      <c r="L46" s="693"/>
      <c r="M46" s="693"/>
      <c r="N46" s="9"/>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693"/>
      <c r="AP46" s="693"/>
      <c r="AQ46" s="693"/>
      <c r="AR46" s="693"/>
      <c r="AS46" s="693"/>
      <c r="AT46" s="9"/>
      <c r="AU46" s="9"/>
      <c r="AV46" s="9"/>
      <c r="AW46" s="9"/>
      <c r="AX46" s="9"/>
      <c r="AY46" s="9"/>
      <c r="AZ46" s="9"/>
      <c r="BA46" s="9"/>
      <c r="BB46" s="9"/>
      <c r="BC46" s="9"/>
      <c r="BD46" s="9"/>
    </row>
    <row r="47" spans="1:56" ht="12.75">
      <c r="A47" s="9"/>
      <c r="B47" s="693"/>
      <c r="C47" s="9"/>
      <c r="D47" s="693"/>
      <c r="E47" s="9"/>
      <c r="F47" s="9"/>
      <c r="G47" s="9"/>
      <c r="H47" s="9"/>
      <c r="I47" s="693"/>
      <c r="J47" s="693"/>
      <c r="K47" s="693"/>
      <c r="L47" s="693"/>
      <c r="M47" s="693"/>
      <c r="N47" s="9"/>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3"/>
      <c r="AM47" s="693"/>
      <c r="AN47" s="693"/>
      <c r="AO47" s="693"/>
      <c r="AP47" s="693"/>
      <c r="AQ47" s="693"/>
      <c r="AR47" s="693"/>
      <c r="AS47" s="693"/>
      <c r="AT47" s="9"/>
      <c r="AU47" s="9"/>
      <c r="AV47" s="9"/>
      <c r="AW47" s="9"/>
      <c r="AX47" s="9"/>
      <c r="AY47" s="9"/>
      <c r="AZ47" s="9"/>
      <c r="BA47" s="9"/>
      <c r="BB47" s="9"/>
      <c r="BC47" s="9"/>
      <c r="BD47" s="9"/>
    </row>
    <row r="48" spans="1:56" ht="12.75">
      <c r="A48" s="9"/>
      <c r="B48" s="693"/>
      <c r="C48" s="9"/>
      <c r="D48" s="693"/>
      <c r="E48" s="9"/>
      <c r="F48" s="9"/>
      <c r="G48" s="9"/>
      <c r="H48" s="9"/>
      <c r="I48" s="693"/>
      <c r="J48" s="693"/>
      <c r="K48" s="693"/>
      <c r="L48" s="693"/>
      <c r="M48" s="693"/>
      <c r="N48" s="9"/>
      <c r="O48" s="693"/>
      <c r="P48" s="693"/>
      <c r="Q48" s="693"/>
      <c r="R48" s="693"/>
      <c r="S48" s="693"/>
      <c r="T48" s="693"/>
      <c r="U48" s="693"/>
      <c r="V48" s="693"/>
      <c r="W48" s="693"/>
      <c r="X48" s="693"/>
      <c r="Y48" s="693"/>
      <c r="Z48" s="693"/>
      <c r="AA48" s="693"/>
      <c r="AB48" s="693"/>
      <c r="AC48" s="693"/>
      <c r="AD48" s="693"/>
      <c r="AE48" s="693"/>
      <c r="AF48" s="693"/>
      <c r="AG48" s="693"/>
      <c r="AH48" s="693"/>
      <c r="AI48" s="693"/>
      <c r="AJ48" s="693"/>
      <c r="AK48" s="693"/>
      <c r="AL48" s="693"/>
      <c r="AM48" s="693"/>
      <c r="AN48" s="693"/>
      <c r="AO48" s="693"/>
      <c r="AP48" s="693"/>
      <c r="AQ48" s="693"/>
      <c r="AR48" s="693"/>
      <c r="AS48" s="693"/>
      <c r="AT48" s="9"/>
      <c r="AU48" s="9"/>
      <c r="AV48" s="9"/>
      <c r="AW48" s="9"/>
      <c r="AX48" s="9"/>
      <c r="AY48" s="9"/>
      <c r="AZ48" s="9"/>
      <c r="BA48" s="9"/>
      <c r="BB48" s="9"/>
      <c r="BC48" s="9"/>
      <c r="BD48" s="9"/>
    </row>
    <row r="49" spans="1:56" ht="12.75">
      <c r="A49" s="9"/>
      <c r="B49" s="693"/>
      <c r="C49" s="9"/>
      <c r="D49" s="693"/>
      <c r="E49" s="9"/>
      <c r="F49" s="9"/>
      <c r="G49" s="9"/>
      <c r="H49" s="9"/>
      <c r="I49" s="693"/>
      <c r="J49" s="693"/>
      <c r="K49" s="693"/>
      <c r="L49" s="693"/>
      <c r="M49" s="693"/>
      <c r="N49" s="9"/>
      <c r="O49" s="693"/>
      <c r="P49" s="693"/>
      <c r="Q49" s="693"/>
      <c r="R49" s="693"/>
      <c r="S49" s="693"/>
      <c r="T49" s="693"/>
      <c r="U49" s="693"/>
      <c r="V49" s="693"/>
      <c r="W49" s="693"/>
      <c r="X49" s="693"/>
      <c r="Y49" s="693"/>
      <c r="Z49" s="693"/>
      <c r="AA49" s="693"/>
      <c r="AB49" s="693"/>
      <c r="AC49" s="693"/>
      <c r="AD49" s="693"/>
      <c r="AE49" s="693"/>
      <c r="AF49" s="693"/>
      <c r="AG49" s="693"/>
      <c r="AH49" s="693"/>
      <c r="AI49" s="693"/>
      <c r="AJ49" s="693"/>
      <c r="AK49" s="693"/>
      <c r="AL49" s="693"/>
      <c r="AM49" s="693"/>
      <c r="AN49" s="693"/>
      <c r="AO49" s="693"/>
      <c r="AP49" s="693"/>
      <c r="AQ49" s="693"/>
      <c r="AR49" s="693"/>
      <c r="AS49" s="693"/>
      <c r="AT49" s="9"/>
      <c r="AU49" s="9"/>
      <c r="AV49" s="9"/>
      <c r="AW49" s="9"/>
      <c r="AX49" s="9"/>
      <c r="AY49" s="9"/>
      <c r="AZ49" s="9"/>
      <c r="BA49" s="9"/>
      <c r="BB49" s="9"/>
      <c r="BC49" s="9"/>
      <c r="BD49" s="9"/>
    </row>
    <row r="50" spans="1:56" ht="12.75">
      <c r="A50" s="9"/>
      <c r="B50" s="693"/>
      <c r="C50" s="9"/>
      <c r="D50" s="693"/>
      <c r="E50" s="9"/>
      <c r="F50" s="9"/>
      <c r="G50" s="9"/>
      <c r="H50" s="9"/>
      <c r="I50" s="693"/>
      <c r="J50" s="693"/>
      <c r="K50" s="693"/>
      <c r="L50" s="693"/>
      <c r="M50" s="693"/>
      <c r="N50" s="9"/>
      <c r="O50" s="693"/>
      <c r="P50" s="693"/>
      <c r="Q50" s="693"/>
      <c r="R50" s="693"/>
      <c r="S50" s="693"/>
      <c r="T50" s="693"/>
      <c r="U50" s="693"/>
      <c r="V50" s="693"/>
      <c r="W50" s="693"/>
      <c r="X50" s="693"/>
      <c r="Y50" s="693"/>
      <c r="Z50" s="693"/>
      <c r="AA50" s="693"/>
      <c r="AB50" s="693"/>
      <c r="AC50" s="693"/>
      <c r="AD50" s="693"/>
      <c r="AE50" s="693"/>
      <c r="AF50" s="693"/>
      <c r="AG50" s="693"/>
      <c r="AH50" s="693"/>
      <c r="AI50" s="693"/>
      <c r="AJ50" s="693"/>
      <c r="AK50" s="693"/>
      <c r="AL50" s="693"/>
      <c r="AM50" s="693"/>
      <c r="AN50" s="693"/>
      <c r="AO50" s="693"/>
      <c r="AP50" s="693"/>
      <c r="AQ50" s="693"/>
      <c r="AR50" s="693"/>
      <c r="AS50" s="693"/>
      <c r="AT50" s="9"/>
      <c r="AU50" s="9"/>
      <c r="AV50" s="9"/>
      <c r="AW50" s="9"/>
      <c r="AX50" s="9"/>
      <c r="AY50" s="9"/>
      <c r="AZ50" s="9"/>
      <c r="BA50" s="9"/>
      <c r="BB50" s="9"/>
      <c r="BC50" s="9"/>
      <c r="BD50" s="9"/>
    </row>
    <row r="51" spans="1:56" ht="12.75">
      <c r="A51" s="9"/>
      <c r="B51" s="693"/>
      <c r="C51" s="9"/>
      <c r="D51" s="693"/>
      <c r="E51" s="9"/>
      <c r="F51" s="9"/>
      <c r="G51" s="9"/>
      <c r="H51" s="9"/>
      <c r="I51" s="693"/>
      <c r="J51" s="693"/>
      <c r="K51" s="693"/>
      <c r="L51" s="693"/>
      <c r="M51" s="693"/>
      <c r="N51" s="9"/>
      <c r="O51" s="693"/>
      <c r="P51" s="693"/>
      <c r="Q51" s="693"/>
      <c r="R51" s="693"/>
      <c r="S51" s="693"/>
      <c r="T51" s="693"/>
      <c r="U51" s="693"/>
      <c r="V51" s="693"/>
      <c r="W51" s="693"/>
      <c r="X51" s="693"/>
      <c r="Y51" s="693"/>
      <c r="Z51" s="693"/>
      <c r="AA51" s="693"/>
      <c r="AB51" s="693"/>
      <c r="AC51" s="693"/>
      <c r="AD51" s="693"/>
      <c r="AE51" s="693"/>
      <c r="AF51" s="693"/>
      <c r="AG51" s="693"/>
      <c r="AH51" s="693"/>
      <c r="AI51" s="693"/>
      <c r="AJ51" s="693"/>
      <c r="AK51" s="693"/>
      <c r="AL51" s="693"/>
      <c r="AM51" s="693"/>
      <c r="AN51" s="693"/>
      <c r="AO51" s="693"/>
      <c r="AP51" s="693"/>
      <c r="AQ51" s="693"/>
      <c r="AR51" s="693"/>
      <c r="AS51" s="693"/>
      <c r="AT51" s="9"/>
      <c r="AU51" s="9"/>
      <c r="AV51" s="9"/>
      <c r="AW51" s="9"/>
      <c r="AX51" s="9"/>
      <c r="AY51" s="9"/>
      <c r="AZ51" s="9"/>
      <c r="BA51" s="9"/>
      <c r="BB51" s="9"/>
      <c r="BC51" s="9"/>
      <c r="BD51" s="9"/>
    </row>
    <row r="52" spans="40:54" ht="12.75">
      <c r="AN52" s="693"/>
      <c r="AO52" s="693"/>
      <c r="AP52" s="693"/>
      <c r="AQ52" s="693"/>
      <c r="AR52" s="693"/>
      <c r="AS52" s="693"/>
      <c r="AT52" s="9"/>
      <c r="AU52" s="9"/>
      <c r="AV52" s="9"/>
      <c r="AW52" s="9"/>
      <c r="AX52" s="9"/>
      <c r="AY52" s="9"/>
      <c r="AZ52" s="9"/>
      <c r="BA52" s="9"/>
      <c r="BB52" s="9"/>
    </row>
    <row r="53" spans="40:54" ht="12.75">
      <c r="AN53" s="693"/>
      <c r="AO53" s="693"/>
      <c r="AP53" s="693"/>
      <c r="AQ53" s="693"/>
      <c r="AR53" s="693"/>
      <c r="AS53" s="693"/>
      <c r="AT53" s="9"/>
      <c r="AU53" s="9"/>
      <c r="AV53" s="9"/>
      <c r="AW53" s="9"/>
      <c r="AX53" s="9"/>
      <c r="AY53" s="9"/>
      <c r="AZ53" s="9"/>
      <c r="BA53" s="9"/>
      <c r="BB53" s="9"/>
    </row>
    <row r="54" spans="40:54" ht="12.75">
      <c r="AN54" s="693"/>
      <c r="AO54" s="693"/>
      <c r="AP54" s="693"/>
      <c r="AQ54" s="693"/>
      <c r="AR54" s="693"/>
      <c r="AS54" s="693"/>
      <c r="AT54" s="9"/>
      <c r="AU54" s="9"/>
      <c r="AV54" s="9"/>
      <c r="AW54" s="9"/>
      <c r="AX54" s="9"/>
      <c r="AY54" s="9"/>
      <c r="AZ54" s="9"/>
      <c r="BA54" s="9"/>
      <c r="BB54" s="9"/>
    </row>
  </sheetData>
  <sheetProtection password="83AF" sheet="1" objects="1" scenarios="1"/>
  <printOptions/>
  <pageMargins left="0.75" right="0.75" top="1" bottom="1" header="0.5" footer="0.5"/>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BX63"/>
  <sheetViews>
    <sheetView workbookViewId="0" topLeftCell="A1">
      <selection activeCell="D21" sqref="D21"/>
    </sheetView>
  </sheetViews>
  <sheetFormatPr defaultColWidth="9.140625" defaultRowHeight="12.75"/>
  <cols>
    <col min="2" max="2" width="9.57421875" style="0" bestFit="1" customWidth="1"/>
    <col min="4" max="4" width="9.57421875" style="0" bestFit="1" customWidth="1"/>
    <col min="5" max="5" width="11.00390625" style="0" customWidth="1"/>
    <col min="9" max="9" width="14.00390625" style="0" customWidth="1"/>
  </cols>
  <sheetData>
    <row r="1" ht="18">
      <c r="C1" s="225" t="s">
        <v>154</v>
      </c>
    </row>
    <row r="2" ht="12.75">
      <c r="A2" s="2" t="s">
        <v>155</v>
      </c>
    </row>
    <row r="3" spans="1:76" ht="12.75">
      <c r="A3" s="9"/>
      <c r="B3" s="9"/>
      <c r="C3" s="9"/>
      <c r="D3" s="9"/>
      <c r="E3" s="9"/>
      <c r="F3" s="9"/>
      <c r="G3" s="9"/>
      <c r="H3" s="9"/>
      <c r="I3" s="213" t="s">
        <v>455</v>
      </c>
      <c r="J3" s="26"/>
      <c r="K3" s="26"/>
      <c r="L3" s="26"/>
      <c r="M3" s="26"/>
      <c r="N3" s="213" t="s">
        <v>156</v>
      </c>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9"/>
      <c r="AU3" s="9"/>
      <c r="AV3" s="9"/>
      <c r="AW3" s="9"/>
      <c r="AX3" s="9"/>
      <c r="AY3" s="9"/>
      <c r="AZ3" s="9"/>
      <c r="BA3" s="9"/>
      <c r="BB3" s="9"/>
      <c r="BC3" s="9"/>
      <c r="BD3" s="28" t="s">
        <v>157</v>
      </c>
      <c r="BE3" s="28"/>
      <c r="BF3" s="28"/>
      <c r="BG3" s="28"/>
      <c r="BH3" s="9"/>
      <c r="BI3" s="9"/>
      <c r="BJ3" s="9"/>
      <c r="BK3" s="9"/>
      <c r="BL3" s="9"/>
      <c r="BM3" s="9"/>
      <c r="BN3" s="9"/>
      <c r="BO3" s="9"/>
      <c r="BP3" s="9"/>
      <c r="BQ3" s="9"/>
      <c r="BR3" s="9"/>
      <c r="BS3" s="9"/>
      <c r="BT3" s="9"/>
      <c r="BU3" s="9"/>
      <c r="BV3" s="9"/>
      <c r="BW3" s="9"/>
      <c r="BX3" s="9"/>
    </row>
    <row r="4" spans="1:76" ht="89.25">
      <c r="A4" s="177" t="s">
        <v>158</v>
      </c>
      <c r="B4" s="178" t="s">
        <v>159</v>
      </c>
      <c r="C4" s="178" t="s">
        <v>160</v>
      </c>
      <c r="D4" s="178" t="s">
        <v>161</v>
      </c>
      <c r="E4" s="178" t="s">
        <v>162</v>
      </c>
      <c r="F4" s="177" t="s">
        <v>163</v>
      </c>
      <c r="G4" s="177" t="s">
        <v>21</v>
      </c>
      <c r="H4" s="179" t="s">
        <v>164</v>
      </c>
      <c r="I4" s="179" t="s">
        <v>165</v>
      </c>
      <c r="J4" s="733" t="s">
        <v>166</v>
      </c>
      <c r="K4" s="734"/>
      <c r="L4" s="734"/>
      <c r="M4" s="179" t="s">
        <v>167</v>
      </c>
      <c r="N4" s="178" t="s">
        <v>168</v>
      </c>
      <c r="O4" s="179" t="s">
        <v>169</v>
      </c>
      <c r="P4" s="178" t="s">
        <v>170</v>
      </c>
      <c r="Q4" s="178" t="s">
        <v>171</v>
      </c>
      <c r="R4" s="178" t="s">
        <v>172</v>
      </c>
      <c r="S4" s="178" t="s">
        <v>173</v>
      </c>
      <c r="T4" s="178" t="s">
        <v>174</v>
      </c>
      <c r="U4" s="178" t="s">
        <v>175</v>
      </c>
      <c r="V4" s="178" t="s">
        <v>176</v>
      </c>
      <c r="W4" s="178" t="s">
        <v>177</v>
      </c>
      <c r="X4" s="178" t="s">
        <v>178</v>
      </c>
      <c r="Y4" s="178" t="s">
        <v>179</v>
      </c>
      <c r="Z4" s="178" t="s">
        <v>180</v>
      </c>
      <c r="AA4" s="178" t="s">
        <v>181</v>
      </c>
      <c r="AB4" s="178" t="s">
        <v>182</v>
      </c>
      <c r="AC4" s="178" t="s">
        <v>183</v>
      </c>
      <c r="AD4" s="178" t="s">
        <v>184</v>
      </c>
      <c r="AE4" s="178" t="s">
        <v>185</v>
      </c>
      <c r="AF4" s="178" t="s">
        <v>186</v>
      </c>
      <c r="AG4" s="178" t="s">
        <v>187</v>
      </c>
      <c r="AH4" s="178" t="s">
        <v>188</v>
      </c>
      <c r="AI4" s="178" t="s">
        <v>189</v>
      </c>
      <c r="AJ4" s="178" t="s">
        <v>190</v>
      </c>
      <c r="AK4" s="178" t="s">
        <v>191</v>
      </c>
      <c r="AL4" s="178" t="s">
        <v>192</v>
      </c>
      <c r="AM4" s="178" t="s">
        <v>193</v>
      </c>
      <c r="AN4" s="178" t="s">
        <v>194</v>
      </c>
      <c r="AO4" s="178" t="s">
        <v>195</v>
      </c>
      <c r="AP4" s="178" t="s">
        <v>196</v>
      </c>
      <c r="AQ4" s="178" t="s">
        <v>197</v>
      </c>
      <c r="AR4" s="178" t="s">
        <v>198</v>
      </c>
      <c r="AS4" s="178" t="s">
        <v>199</v>
      </c>
      <c r="AT4" s="177" t="s">
        <v>200</v>
      </c>
      <c r="AU4" s="177" t="s">
        <v>201</v>
      </c>
      <c r="AV4" s="180" t="s">
        <v>202</v>
      </c>
      <c r="AW4" s="181" t="s">
        <v>203</v>
      </c>
      <c r="AX4" s="181" t="s">
        <v>204</v>
      </c>
      <c r="AY4" s="181" t="s">
        <v>205</v>
      </c>
      <c r="AZ4" s="181" t="s">
        <v>206</v>
      </c>
      <c r="BA4" s="181" t="s">
        <v>207</v>
      </c>
      <c r="BB4" s="181" t="s">
        <v>208</v>
      </c>
      <c r="BC4" s="9"/>
      <c r="BD4" s="182" t="s">
        <v>209</v>
      </c>
      <c r="BE4" s="182" t="s">
        <v>456</v>
      </c>
      <c r="BF4" s="182" t="s">
        <v>201</v>
      </c>
      <c r="BG4" s="182" t="s">
        <v>457</v>
      </c>
      <c r="BH4" s="9"/>
      <c r="BI4" s="9"/>
      <c r="BJ4" s="9"/>
      <c r="BK4" s="9"/>
      <c r="BL4" s="9"/>
      <c r="BM4" s="9"/>
      <c r="BN4" s="9"/>
      <c r="BO4" s="9"/>
      <c r="BP4" s="9"/>
      <c r="BQ4" s="9"/>
      <c r="BR4" s="9"/>
      <c r="BS4" s="9"/>
      <c r="BT4" s="9"/>
      <c r="BU4" s="9"/>
      <c r="BV4" s="9"/>
      <c r="BW4" s="9"/>
      <c r="BX4" s="9"/>
    </row>
    <row r="5" spans="1:76" ht="12.75">
      <c r="A5" s="183" t="s">
        <v>210</v>
      </c>
      <c r="B5" s="735">
        <v>1000000</v>
      </c>
      <c r="C5" s="736"/>
      <c r="D5" s="766">
        <v>968555</v>
      </c>
      <c r="E5" s="737">
        <v>35657</v>
      </c>
      <c r="F5" s="185">
        <v>0.14</v>
      </c>
      <c r="G5" s="186">
        <v>1</v>
      </c>
      <c r="H5" s="187">
        <v>2</v>
      </c>
      <c r="I5" s="738">
        <f>IF(G5,ABS(D5),0)</f>
        <v>968555</v>
      </c>
      <c r="J5" s="187">
        <f>IF(AND($G5=2,$H5&lt;0.5),ABS($D5),0)</f>
        <v>0</v>
      </c>
      <c r="K5" s="187">
        <f>IF(AND($G5=2,$H5&gt;=0.5,$H5&lt;=2),ABS($D5),0)</f>
        <v>0</v>
      </c>
      <c r="L5" s="187">
        <f>IF(AND($G5=2,$H5&gt;2),ABS($D5),0)</f>
        <v>0</v>
      </c>
      <c r="M5" s="187">
        <f>IF(G5=3,ABS(D5),0)</f>
        <v>0</v>
      </c>
      <c r="N5" s="188">
        <f>MATCH(H5,IF(F5&gt;=0.03,sss,CpnLT3),1)</f>
        <v>5</v>
      </c>
      <c r="O5" s="739">
        <f>IF(AU5=0,0,INDEX(MatWts,N5)*B5)</f>
        <v>0</v>
      </c>
      <c r="P5" s="739">
        <f>IF(N5=1,MAX(O5,0),0)</f>
        <v>0</v>
      </c>
      <c r="Q5" s="739">
        <f>IF(N5=2,MAX(O5,0),0)</f>
        <v>0</v>
      </c>
      <c r="R5" s="739">
        <f>IF(N5=3,MAX(O5,0),0)</f>
        <v>0</v>
      </c>
      <c r="S5" s="739">
        <f>IF(N5=4,MAX(O5,0),0)</f>
        <v>0</v>
      </c>
      <c r="T5" s="739">
        <f>IF(N5=5,MAX(O5,0),0)</f>
        <v>0</v>
      </c>
      <c r="U5" s="739">
        <f>IF(N5=6,MAX(O5,0),0)</f>
        <v>0</v>
      </c>
      <c r="V5" s="739">
        <f>IF(N5=7,MAX(O5,0),0)</f>
        <v>0</v>
      </c>
      <c r="W5" s="739">
        <f>IF(N5=8,MAX(O5,0),0)</f>
        <v>0</v>
      </c>
      <c r="X5" s="739">
        <f>IF(N5=9,MAX(O5,0),0)</f>
        <v>0</v>
      </c>
      <c r="Y5" s="739">
        <f>IF(N5=10,MAX(O5,0),0)</f>
        <v>0</v>
      </c>
      <c r="Z5" s="739">
        <f>IF(N5=11,MAX(O5,0),0)</f>
        <v>0</v>
      </c>
      <c r="AA5" s="739">
        <f>IF(N5=12,MAX(O5,0),0)</f>
        <v>0</v>
      </c>
      <c r="AB5" s="739">
        <f>IF(N5=13,MAX(O5,0),0)</f>
        <v>0</v>
      </c>
      <c r="AC5" s="739">
        <f>IF(N5=14,MAX(O5,0),0)</f>
        <v>0</v>
      </c>
      <c r="AD5" s="739">
        <f>IF(N5=15,MAX(O5,0),0)</f>
        <v>0</v>
      </c>
      <c r="AE5" s="739">
        <f>IF(N5=1,MIN(O5,0),0)</f>
        <v>0</v>
      </c>
      <c r="AF5" s="739">
        <f>IF(N5=2,MIN(O5,0),0)</f>
        <v>0</v>
      </c>
      <c r="AG5" s="739">
        <f>IF(N5=3,MIN(O5,0),0)</f>
        <v>0</v>
      </c>
      <c r="AH5" s="739">
        <f>IF(N5=4,MIN(O5,0),0)</f>
        <v>0</v>
      </c>
      <c r="AI5" s="739">
        <f>IF(N5=5,MIN(O5,0),0)</f>
        <v>0</v>
      </c>
      <c r="AJ5" s="739">
        <f>IF(N5=6,MIN(O5,0),0)</f>
        <v>0</v>
      </c>
      <c r="AK5" s="739">
        <f>IF(N5=7,MIN(O5,0),0)</f>
        <v>0</v>
      </c>
      <c r="AL5" s="739">
        <f>IF(N5=8,MIN(O5,0),0)</f>
        <v>0</v>
      </c>
      <c r="AM5" s="739">
        <f>IF(N5=9,MIN(O5,0),0)</f>
        <v>0</v>
      </c>
      <c r="AN5" s="739">
        <f>IF(N5=10,MIN(O5,0),0)</f>
        <v>0</v>
      </c>
      <c r="AO5" s="739">
        <f>IF(N5=11,MIN(O5,0),0)</f>
        <v>0</v>
      </c>
      <c r="AP5" s="739">
        <f>IF(N5=12,MIN(O5,0),0)</f>
        <v>0</v>
      </c>
      <c r="AQ5" s="739">
        <f>IF(N5=13,MIN(O5,0),0)</f>
        <v>0</v>
      </c>
      <c r="AR5" s="739">
        <f>IF(N5=14,MIN(O5,0),0)</f>
        <v>0</v>
      </c>
      <c r="AS5" s="739">
        <f>IF(N5=15,MIN(O5,0),0)</f>
        <v>0</v>
      </c>
      <c r="AT5" s="189" t="e">
        <f>MDURATION([1]!EFFDATE,E5,F5,C5/100,2)</f>
        <v>#NAME?</v>
      </c>
      <c r="AU5" s="190">
        <f aca="true" t="shared" si="0" ref="AU5:AU33">IF(OR(ISERR(AT5),ISERR(D5)),0,IF(AT5&lt;=1,1,IF(AT5&gt;3.6,3,2)))</f>
        <v>0</v>
      </c>
      <c r="AV5" s="191">
        <f aca="true" t="shared" si="1" ref="AV5:AV33">IF(AU5=0,0,B5/100*D5*AT5*CHOOSE(AU5,0.01,0.0085,0.007))</f>
        <v>0</v>
      </c>
      <c r="AW5" s="192">
        <f aca="true" t="shared" si="2" ref="AW5:AW33">IF($AU5&lt;&gt;1,0,MAX($AV5,0))</f>
        <v>0</v>
      </c>
      <c r="AX5" s="192">
        <f aca="true" t="shared" si="3" ref="AX5:AX33">IF($AU5&lt;&gt;2,0,MAX($AV5,0))</f>
        <v>0</v>
      </c>
      <c r="AY5" s="192">
        <f aca="true" t="shared" si="4" ref="AY5:AY33">IF($AU5&lt;&gt;3,0,MAX($AV5,0))</f>
        <v>0</v>
      </c>
      <c r="AZ5" s="192">
        <f aca="true" t="shared" si="5" ref="AZ5:AZ33">IF($AU5&lt;&gt;1,0,MIN($AV5,0))</f>
        <v>0</v>
      </c>
      <c r="BA5" s="192">
        <f aca="true" t="shared" si="6" ref="BA5:BA33">IF($AU5&lt;&gt;2,0,MIN($AV5,0))</f>
        <v>0</v>
      </c>
      <c r="BB5" s="192">
        <f aca="true" t="shared" si="7" ref="BB5:BB33">IF($AU5&lt;&gt;3,0,MIN($AV5,0))</f>
        <v>0</v>
      </c>
      <c r="BC5" s="9"/>
      <c r="BD5" s="28">
        <v>0</v>
      </c>
      <c r="BE5" s="28">
        <v>0</v>
      </c>
      <c r="BF5" s="28">
        <v>1</v>
      </c>
      <c r="BG5" s="740">
        <v>0</v>
      </c>
      <c r="BH5" s="9"/>
      <c r="BI5" s="9"/>
      <c r="BJ5" s="9"/>
      <c r="BK5" s="9"/>
      <c r="BL5" s="9"/>
      <c r="BM5" s="9"/>
      <c r="BN5" s="9"/>
      <c r="BO5" s="9"/>
      <c r="BP5" s="9"/>
      <c r="BQ5" s="9"/>
      <c r="BR5" s="9"/>
      <c r="BS5" s="9"/>
      <c r="BT5" s="9"/>
      <c r="BU5" s="9"/>
      <c r="BV5" s="9"/>
      <c r="BW5" s="9"/>
      <c r="BX5" s="9"/>
    </row>
    <row r="6" spans="1:76" ht="12.75">
      <c r="A6" s="183" t="s">
        <v>211</v>
      </c>
      <c r="B6" s="735"/>
      <c r="C6" s="551"/>
      <c r="D6" s="766" t="s">
        <v>13</v>
      </c>
      <c r="E6" s="193">
        <v>36676</v>
      </c>
      <c r="F6" s="194">
        <v>0.115</v>
      </c>
      <c r="G6" s="186">
        <v>1</v>
      </c>
      <c r="H6" s="187">
        <f aca="true" t="shared" si="8" ref="H6:H21">IF(AU6=0,0,ROUND((E6-EFFDATE)/365.25,3))</f>
        <v>0</v>
      </c>
      <c r="I6" s="738">
        <f aca="true" t="shared" si="9" ref="I6:I33">IF(G6,ABS(B6),0)</f>
        <v>0</v>
      </c>
      <c r="J6" s="187">
        <f aca="true" t="shared" si="10" ref="J6:J33">IF(AND($G6=2,$H6&lt;0.5),ABS($B6),0)</f>
        <v>0</v>
      </c>
      <c r="K6" s="187">
        <f aca="true" t="shared" si="11" ref="K6:K33">IF(AND($G6=2,$H6&gt;=0.5,$H6&lt;=2),ABS($B6),0)</f>
        <v>0</v>
      </c>
      <c r="L6" s="187">
        <f aca="true" t="shared" si="12" ref="L6:L33">IF(AND($G6=2,$H6&gt;2),ABS($B6),0)</f>
        <v>0</v>
      </c>
      <c r="M6" s="187">
        <f aca="true" t="shared" si="13" ref="M6:M33">IF(G6=3,ABS(B6),0)</f>
        <v>0</v>
      </c>
      <c r="N6" s="188">
        <f aca="true" t="shared" si="14" ref="N6:N21">MATCH(H6,IF(F6&gt;=0.03,sss,CpnLT3),1)</f>
        <v>1</v>
      </c>
      <c r="O6" s="739">
        <f aca="true" t="shared" si="15" ref="O6:O21">IF(AU6=0,0,INDEX(MatWts,N6)*B6)</f>
        <v>0</v>
      </c>
      <c r="P6" s="739">
        <f aca="true" t="shared" si="16" ref="P6:P33">IF(N6=1,MAX(O6,0),0)</f>
        <v>0</v>
      </c>
      <c r="Q6" s="739">
        <f aca="true" t="shared" si="17" ref="Q6:Q33">IF(N6=2,MAX(O6,0),0)</f>
        <v>0</v>
      </c>
      <c r="R6" s="739">
        <f aca="true" t="shared" si="18" ref="R6:R33">IF(N6=3,MAX(O6,0),0)</f>
        <v>0</v>
      </c>
      <c r="S6" s="739">
        <f aca="true" t="shared" si="19" ref="S6:S33">IF(N6=4,MAX(O6,0),0)</f>
        <v>0</v>
      </c>
      <c r="T6" s="739">
        <f aca="true" t="shared" si="20" ref="T6:T33">IF(N6=5,MAX(O6,0),0)</f>
        <v>0</v>
      </c>
      <c r="U6" s="739">
        <f aca="true" t="shared" si="21" ref="U6:U33">IF(N6=6,MAX(O6,0),0)</f>
        <v>0</v>
      </c>
      <c r="V6" s="739">
        <f aca="true" t="shared" si="22" ref="V6:V33">IF(N6=7,MAX(O6,0),0)</f>
        <v>0</v>
      </c>
      <c r="W6" s="739">
        <f aca="true" t="shared" si="23" ref="W6:W33">IF(N6=8,MAX(O6,0),0)</f>
        <v>0</v>
      </c>
      <c r="X6" s="739">
        <f aca="true" t="shared" si="24" ref="X6:X33">IF(N6=9,MAX(O6,0),0)</f>
        <v>0</v>
      </c>
      <c r="Y6" s="739">
        <f aca="true" t="shared" si="25" ref="Y6:Y33">IF(N6=10,MAX(O6,0),0)</f>
        <v>0</v>
      </c>
      <c r="Z6" s="739">
        <f aca="true" t="shared" si="26" ref="Z6:Z33">IF(N6=11,MAX(O6,0),0)</f>
        <v>0</v>
      </c>
      <c r="AA6" s="739">
        <f aca="true" t="shared" si="27" ref="AA6:AA33">IF(N6=12,MAX(O6,0),0)</f>
        <v>0</v>
      </c>
      <c r="AB6" s="739">
        <f aca="true" t="shared" si="28" ref="AB6:AB33">IF(N6=13,MAX(O6,0),0)</f>
        <v>0</v>
      </c>
      <c r="AC6" s="739">
        <f aca="true" t="shared" si="29" ref="AC6:AC33">IF(N6=14,MAX(O6,0),0)</f>
        <v>0</v>
      </c>
      <c r="AD6" s="739">
        <f aca="true" t="shared" si="30" ref="AD6:AD33">IF(N6=15,MAX(O6,0),0)</f>
        <v>0</v>
      </c>
      <c r="AE6" s="739">
        <f aca="true" t="shared" si="31" ref="AE6:AE33">IF(N6=1,MIN(O6,0),0)</f>
        <v>0</v>
      </c>
      <c r="AF6" s="739">
        <f aca="true" t="shared" si="32" ref="AF6:AF33">IF(N6=2,MIN(O6,0),0)</f>
        <v>0</v>
      </c>
      <c r="AG6" s="739">
        <f aca="true" t="shared" si="33" ref="AG6:AG33">IF(N6=3,MIN(O6,0),0)</f>
        <v>0</v>
      </c>
      <c r="AH6" s="739">
        <f aca="true" t="shared" si="34" ref="AH6:AH33">IF(N6=4,MIN(O6,0),0)</f>
        <v>0</v>
      </c>
      <c r="AI6" s="739">
        <f aca="true" t="shared" si="35" ref="AI6:AI33">IF(N6=5,MIN(O6,0),0)</f>
        <v>0</v>
      </c>
      <c r="AJ6" s="739">
        <f aca="true" t="shared" si="36" ref="AJ6:AJ33">IF(N6=6,MIN(O6,0),0)</f>
        <v>0</v>
      </c>
      <c r="AK6" s="739">
        <f aca="true" t="shared" si="37" ref="AK6:AK33">IF(N6=7,MIN(O6,0),0)</f>
        <v>0</v>
      </c>
      <c r="AL6" s="739">
        <f aca="true" t="shared" si="38" ref="AL6:AL33">IF(N6=8,MIN(O6,0),0)</f>
        <v>0</v>
      </c>
      <c r="AM6" s="739">
        <f aca="true" t="shared" si="39" ref="AM6:AM33">IF(N6=9,MIN(O6,0),0)</f>
        <v>0</v>
      </c>
      <c r="AN6" s="739">
        <f aca="true" t="shared" si="40" ref="AN6:AN33">IF(N6=10,MIN(O6,0),0)</f>
        <v>0</v>
      </c>
      <c r="AO6" s="739">
        <f aca="true" t="shared" si="41" ref="AO6:AO33">IF(N6=11,MIN(O6,0),0)</f>
        <v>0</v>
      </c>
      <c r="AP6" s="739">
        <f aca="true" t="shared" si="42" ref="AP6:AP33">IF(N6=12,MIN(O6,0),0)</f>
        <v>0</v>
      </c>
      <c r="AQ6" s="739">
        <f aca="true" t="shared" si="43" ref="AQ6:AQ33">IF(N6=13,MIN(O6,0),0)</f>
        <v>0</v>
      </c>
      <c r="AR6" s="739">
        <f aca="true" t="shared" si="44" ref="AR6:AR33">IF(N6=14,MIN(O6,0),0)</f>
        <v>0</v>
      </c>
      <c r="AS6" s="739">
        <f aca="true" t="shared" si="45" ref="AS6:AS33">IF(N6=15,MIN(O6,0),0)</f>
        <v>0</v>
      </c>
      <c r="AT6" s="189" t="e">
        <f>MDURATION([1]!EFFDATE,E6,F6,C6/100,2)</f>
        <v>#NAME?</v>
      </c>
      <c r="AU6" s="190">
        <f t="shared" si="0"/>
        <v>0</v>
      </c>
      <c r="AV6" s="191">
        <f t="shared" si="1"/>
        <v>0</v>
      </c>
      <c r="AW6" s="192">
        <f t="shared" si="2"/>
        <v>0</v>
      </c>
      <c r="AX6" s="192">
        <f t="shared" si="3"/>
        <v>0</v>
      </c>
      <c r="AY6" s="192">
        <f t="shared" si="4"/>
        <v>0</v>
      </c>
      <c r="AZ6" s="192">
        <f t="shared" si="5"/>
        <v>0</v>
      </c>
      <c r="BA6" s="192">
        <f t="shared" si="6"/>
        <v>0</v>
      </c>
      <c r="BB6" s="192">
        <f t="shared" si="7"/>
        <v>0</v>
      </c>
      <c r="BC6" s="187"/>
      <c r="BD6" s="195">
        <v>0.08333333334333333</v>
      </c>
      <c r="BE6" s="195">
        <v>0.08333333334333333</v>
      </c>
      <c r="BF6" s="28">
        <v>1</v>
      </c>
      <c r="BG6" s="740">
        <v>0.002</v>
      </c>
      <c r="BH6" s="9"/>
      <c r="BI6" s="741"/>
      <c r="BJ6" s="9"/>
      <c r="BK6" s="9"/>
      <c r="BL6" s="9"/>
      <c r="BM6" s="9"/>
      <c r="BN6" s="9"/>
      <c r="BO6" s="9"/>
      <c r="BP6" s="9"/>
      <c r="BQ6" s="9"/>
      <c r="BR6" s="9"/>
      <c r="BS6" s="9"/>
      <c r="BT6" s="9"/>
      <c r="BU6" s="9"/>
      <c r="BV6" s="9"/>
      <c r="BW6" s="9"/>
      <c r="BX6" s="9"/>
    </row>
    <row r="7" spans="1:76" ht="12.75">
      <c r="A7" s="183" t="s">
        <v>212</v>
      </c>
      <c r="B7" s="735"/>
      <c r="C7" s="736"/>
      <c r="D7" s="766" t="s">
        <v>13</v>
      </c>
      <c r="E7" s="193">
        <v>38411</v>
      </c>
      <c r="F7" s="185">
        <v>0.12</v>
      </c>
      <c r="G7" s="186">
        <v>1</v>
      </c>
      <c r="H7" s="187">
        <f t="shared" si="8"/>
        <v>0</v>
      </c>
      <c r="I7" s="738">
        <f t="shared" si="9"/>
        <v>0</v>
      </c>
      <c r="J7" s="187">
        <f t="shared" si="10"/>
        <v>0</v>
      </c>
      <c r="K7" s="187">
        <f t="shared" si="11"/>
        <v>0</v>
      </c>
      <c r="L7" s="187">
        <f t="shared" si="12"/>
        <v>0</v>
      </c>
      <c r="M7" s="187">
        <f t="shared" si="13"/>
        <v>0</v>
      </c>
      <c r="N7" s="188">
        <f t="shared" si="14"/>
        <v>1</v>
      </c>
      <c r="O7" s="739">
        <f t="shared" si="15"/>
        <v>0</v>
      </c>
      <c r="P7" s="739">
        <f t="shared" si="16"/>
        <v>0</v>
      </c>
      <c r="Q7" s="739">
        <f t="shared" si="17"/>
        <v>0</v>
      </c>
      <c r="R7" s="739">
        <f t="shared" si="18"/>
        <v>0</v>
      </c>
      <c r="S7" s="739">
        <f t="shared" si="19"/>
        <v>0</v>
      </c>
      <c r="T7" s="739">
        <f t="shared" si="20"/>
        <v>0</v>
      </c>
      <c r="U7" s="739">
        <f t="shared" si="21"/>
        <v>0</v>
      </c>
      <c r="V7" s="739">
        <f t="shared" si="22"/>
        <v>0</v>
      </c>
      <c r="W7" s="739">
        <f t="shared" si="23"/>
        <v>0</v>
      </c>
      <c r="X7" s="739">
        <f t="shared" si="24"/>
        <v>0</v>
      </c>
      <c r="Y7" s="739">
        <f t="shared" si="25"/>
        <v>0</v>
      </c>
      <c r="Z7" s="739">
        <f t="shared" si="26"/>
        <v>0</v>
      </c>
      <c r="AA7" s="739">
        <f t="shared" si="27"/>
        <v>0</v>
      </c>
      <c r="AB7" s="739">
        <f t="shared" si="28"/>
        <v>0</v>
      </c>
      <c r="AC7" s="739">
        <f t="shared" si="29"/>
        <v>0</v>
      </c>
      <c r="AD7" s="739">
        <f t="shared" si="30"/>
        <v>0</v>
      </c>
      <c r="AE7" s="739">
        <f t="shared" si="31"/>
        <v>0</v>
      </c>
      <c r="AF7" s="739">
        <f t="shared" si="32"/>
        <v>0</v>
      </c>
      <c r="AG7" s="739">
        <f t="shared" si="33"/>
        <v>0</v>
      </c>
      <c r="AH7" s="739">
        <f t="shared" si="34"/>
        <v>0</v>
      </c>
      <c r="AI7" s="739">
        <f t="shared" si="35"/>
        <v>0</v>
      </c>
      <c r="AJ7" s="739">
        <f t="shared" si="36"/>
        <v>0</v>
      </c>
      <c r="AK7" s="739">
        <f t="shared" si="37"/>
        <v>0</v>
      </c>
      <c r="AL7" s="739">
        <f t="shared" si="38"/>
        <v>0</v>
      </c>
      <c r="AM7" s="739">
        <f t="shared" si="39"/>
        <v>0</v>
      </c>
      <c r="AN7" s="739">
        <f t="shared" si="40"/>
        <v>0</v>
      </c>
      <c r="AO7" s="739">
        <f t="shared" si="41"/>
        <v>0</v>
      </c>
      <c r="AP7" s="739">
        <f t="shared" si="42"/>
        <v>0</v>
      </c>
      <c r="AQ7" s="739">
        <f t="shared" si="43"/>
        <v>0</v>
      </c>
      <c r="AR7" s="739">
        <f t="shared" si="44"/>
        <v>0</v>
      </c>
      <c r="AS7" s="739">
        <f t="shared" si="45"/>
        <v>0</v>
      </c>
      <c r="AT7" s="189" t="e">
        <f>MDURATION([1]!EFFDATE,E7,F7,C7/100,2)</f>
        <v>#NAME?</v>
      </c>
      <c r="AU7" s="190">
        <f t="shared" si="0"/>
        <v>0</v>
      </c>
      <c r="AV7" s="191">
        <f t="shared" si="1"/>
        <v>0</v>
      </c>
      <c r="AW7" s="192">
        <f t="shared" si="2"/>
        <v>0</v>
      </c>
      <c r="AX7" s="192">
        <f t="shared" si="3"/>
        <v>0</v>
      </c>
      <c r="AY7" s="192">
        <f t="shared" si="4"/>
        <v>0</v>
      </c>
      <c r="AZ7" s="192">
        <f t="shared" si="5"/>
        <v>0</v>
      </c>
      <c r="BA7" s="192">
        <f t="shared" si="6"/>
        <v>0</v>
      </c>
      <c r="BB7" s="192">
        <f t="shared" si="7"/>
        <v>0</v>
      </c>
      <c r="BC7" s="187"/>
      <c r="BD7" s="28">
        <v>0.25000000001</v>
      </c>
      <c r="BE7" s="28">
        <v>0.25000000001</v>
      </c>
      <c r="BF7" s="28">
        <v>1</v>
      </c>
      <c r="BG7" s="740">
        <v>0.004</v>
      </c>
      <c r="BH7" s="9"/>
      <c r="BI7" s="9"/>
      <c r="BJ7" s="9"/>
      <c r="BK7" s="9"/>
      <c r="BL7" s="9"/>
      <c r="BM7" s="9"/>
      <c r="BN7" s="9"/>
      <c r="BO7" s="9"/>
      <c r="BP7" s="9"/>
      <c r="BQ7" s="9"/>
      <c r="BR7" s="9"/>
      <c r="BS7" s="9"/>
      <c r="BT7" s="9"/>
      <c r="BU7" s="9"/>
      <c r="BV7" s="9"/>
      <c r="BW7" s="9"/>
      <c r="BX7" s="9"/>
    </row>
    <row r="8" spans="1:76" ht="12.75">
      <c r="A8" s="183" t="s">
        <v>213</v>
      </c>
      <c r="B8" s="735"/>
      <c r="C8" s="736"/>
      <c r="D8" s="766" t="s">
        <v>13</v>
      </c>
      <c r="E8" s="193">
        <v>40421</v>
      </c>
      <c r="F8" s="185">
        <v>0.13</v>
      </c>
      <c r="G8" s="186">
        <v>1</v>
      </c>
      <c r="H8" s="187">
        <f t="shared" si="8"/>
        <v>0</v>
      </c>
      <c r="I8" s="738">
        <f t="shared" si="9"/>
        <v>0</v>
      </c>
      <c r="J8" s="187">
        <f t="shared" si="10"/>
        <v>0</v>
      </c>
      <c r="K8" s="187">
        <f t="shared" si="11"/>
        <v>0</v>
      </c>
      <c r="L8" s="187">
        <f t="shared" si="12"/>
        <v>0</v>
      </c>
      <c r="M8" s="187">
        <f t="shared" si="13"/>
        <v>0</v>
      </c>
      <c r="N8" s="188">
        <f t="shared" si="14"/>
        <v>1</v>
      </c>
      <c r="O8" s="739">
        <f t="shared" si="15"/>
        <v>0</v>
      </c>
      <c r="P8" s="739">
        <f t="shared" si="16"/>
        <v>0</v>
      </c>
      <c r="Q8" s="739">
        <f t="shared" si="17"/>
        <v>0</v>
      </c>
      <c r="R8" s="739">
        <f t="shared" si="18"/>
        <v>0</v>
      </c>
      <c r="S8" s="739">
        <f t="shared" si="19"/>
        <v>0</v>
      </c>
      <c r="T8" s="739">
        <f t="shared" si="20"/>
        <v>0</v>
      </c>
      <c r="U8" s="739">
        <f t="shared" si="21"/>
        <v>0</v>
      </c>
      <c r="V8" s="739">
        <f t="shared" si="22"/>
        <v>0</v>
      </c>
      <c r="W8" s="739">
        <f t="shared" si="23"/>
        <v>0</v>
      </c>
      <c r="X8" s="739">
        <f t="shared" si="24"/>
        <v>0</v>
      </c>
      <c r="Y8" s="739">
        <f t="shared" si="25"/>
        <v>0</v>
      </c>
      <c r="Z8" s="739">
        <f t="shared" si="26"/>
        <v>0</v>
      </c>
      <c r="AA8" s="739">
        <f t="shared" si="27"/>
        <v>0</v>
      </c>
      <c r="AB8" s="739">
        <f t="shared" si="28"/>
        <v>0</v>
      </c>
      <c r="AC8" s="739">
        <f t="shared" si="29"/>
        <v>0</v>
      </c>
      <c r="AD8" s="739">
        <f t="shared" si="30"/>
        <v>0</v>
      </c>
      <c r="AE8" s="739">
        <f t="shared" si="31"/>
        <v>0</v>
      </c>
      <c r="AF8" s="739">
        <f t="shared" si="32"/>
        <v>0</v>
      </c>
      <c r="AG8" s="739">
        <f t="shared" si="33"/>
        <v>0</v>
      </c>
      <c r="AH8" s="739">
        <f t="shared" si="34"/>
        <v>0</v>
      </c>
      <c r="AI8" s="739">
        <f t="shared" si="35"/>
        <v>0</v>
      </c>
      <c r="AJ8" s="739">
        <f t="shared" si="36"/>
        <v>0</v>
      </c>
      <c r="AK8" s="739">
        <f t="shared" si="37"/>
        <v>0</v>
      </c>
      <c r="AL8" s="739">
        <f t="shared" si="38"/>
        <v>0</v>
      </c>
      <c r="AM8" s="739">
        <f t="shared" si="39"/>
        <v>0</v>
      </c>
      <c r="AN8" s="739">
        <f t="shared" si="40"/>
        <v>0</v>
      </c>
      <c r="AO8" s="739">
        <f t="shared" si="41"/>
        <v>0</v>
      </c>
      <c r="AP8" s="739">
        <f t="shared" si="42"/>
        <v>0</v>
      </c>
      <c r="AQ8" s="739">
        <f t="shared" si="43"/>
        <v>0</v>
      </c>
      <c r="AR8" s="739">
        <f t="shared" si="44"/>
        <v>0</v>
      </c>
      <c r="AS8" s="739">
        <f t="shared" si="45"/>
        <v>0</v>
      </c>
      <c r="AT8" s="189" t="e">
        <f>MDURATION([1]!EFFDATE,E8,F8,C8/100,2)</f>
        <v>#NAME?</v>
      </c>
      <c r="AU8" s="190">
        <f t="shared" si="0"/>
        <v>0</v>
      </c>
      <c r="AV8" s="191">
        <f t="shared" si="1"/>
        <v>0</v>
      </c>
      <c r="AW8" s="192">
        <f t="shared" si="2"/>
        <v>0</v>
      </c>
      <c r="AX8" s="192">
        <f t="shared" si="3"/>
        <v>0</v>
      </c>
      <c r="AY8" s="192">
        <f t="shared" si="4"/>
        <v>0</v>
      </c>
      <c r="AZ8" s="192">
        <f t="shared" si="5"/>
        <v>0</v>
      </c>
      <c r="BA8" s="192">
        <f t="shared" si="6"/>
        <v>0</v>
      </c>
      <c r="BB8" s="192">
        <f t="shared" si="7"/>
        <v>0</v>
      </c>
      <c r="BC8" s="187"/>
      <c r="BD8" s="28">
        <v>0.50000000001</v>
      </c>
      <c r="BE8" s="28">
        <v>0.50000000001</v>
      </c>
      <c r="BF8" s="28">
        <v>1</v>
      </c>
      <c r="BG8" s="740">
        <v>0.007</v>
      </c>
      <c r="BH8" s="9"/>
      <c r="BI8" s="9"/>
      <c r="BJ8" s="9"/>
      <c r="BK8" s="9"/>
      <c r="BL8" s="9"/>
      <c r="BM8" s="9"/>
      <c r="BN8" s="9"/>
      <c r="BO8" s="9"/>
      <c r="BP8" s="9"/>
      <c r="BQ8" s="9"/>
      <c r="BR8" s="9"/>
      <c r="BS8" s="9"/>
      <c r="BT8" s="9"/>
      <c r="BU8" s="9"/>
      <c r="BV8" s="9"/>
      <c r="BW8" s="9"/>
      <c r="BX8" s="9"/>
    </row>
    <row r="9" spans="1:76" ht="12.75">
      <c r="A9" s="183" t="s">
        <v>214</v>
      </c>
      <c r="B9" s="735"/>
      <c r="C9" s="551"/>
      <c r="D9" s="766" t="s">
        <v>13</v>
      </c>
      <c r="E9" s="193">
        <v>36144</v>
      </c>
      <c r="F9" s="194">
        <v>0.1075</v>
      </c>
      <c r="G9" s="186">
        <v>1</v>
      </c>
      <c r="H9" s="187">
        <f t="shared" si="8"/>
        <v>0</v>
      </c>
      <c r="I9" s="738">
        <f t="shared" si="9"/>
        <v>0</v>
      </c>
      <c r="J9" s="187">
        <f t="shared" si="10"/>
        <v>0</v>
      </c>
      <c r="K9" s="187">
        <f t="shared" si="11"/>
        <v>0</v>
      </c>
      <c r="L9" s="187">
        <f t="shared" si="12"/>
        <v>0</v>
      </c>
      <c r="M9" s="187">
        <f t="shared" si="13"/>
        <v>0</v>
      </c>
      <c r="N9" s="188">
        <f t="shared" si="14"/>
        <v>1</v>
      </c>
      <c r="O9" s="739">
        <f t="shared" si="15"/>
        <v>0</v>
      </c>
      <c r="P9" s="739">
        <f t="shared" si="16"/>
        <v>0</v>
      </c>
      <c r="Q9" s="739">
        <f t="shared" si="17"/>
        <v>0</v>
      </c>
      <c r="R9" s="739">
        <f t="shared" si="18"/>
        <v>0</v>
      </c>
      <c r="S9" s="739">
        <f t="shared" si="19"/>
        <v>0</v>
      </c>
      <c r="T9" s="739">
        <f t="shared" si="20"/>
        <v>0</v>
      </c>
      <c r="U9" s="739">
        <f t="shared" si="21"/>
        <v>0</v>
      </c>
      <c r="V9" s="739">
        <f t="shared" si="22"/>
        <v>0</v>
      </c>
      <c r="W9" s="739">
        <f t="shared" si="23"/>
        <v>0</v>
      </c>
      <c r="X9" s="739">
        <f t="shared" si="24"/>
        <v>0</v>
      </c>
      <c r="Y9" s="739">
        <f t="shared" si="25"/>
        <v>0</v>
      </c>
      <c r="Z9" s="739">
        <f t="shared" si="26"/>
        <v>0</v>
      </c>
      <c r="AA9" s="739">
        <f t="shared" si="27"/>
        <v>0</v>
      </c>
      <c r="AB9" s="739">
        <f t="shared" si="28"/>
        <v>0</v>
      </c>
      <c r="AC9" s="739">
        <f t="shared" si="29"/>
        <v>0</v>
      </c>
      <c r="AD9" s="739">
        <f t="shared" si="30"/>
        <v>0</v>
      </c>
      <c r="AE9" s="739">
        <f t="shared" si="31"/>
        <v>0</v>
      </c>
      <c r="AF9" s="739">
        <f t="shared" si="32"/>
        <v>0</v>
      </c>
      <c r="AG9" s="739">
        <f t="shared" si="33"/>
        <v>0</v>
      </c>
      <c r="AH9" s="739">
        <f t="shared" si="34"/>
        <v>0</v>
      </c>
      <c r="AI9" s="739">
        <f t="shared" si="35"/>
        <v>0</v>
      </c>
      <c r="AJ9" s="739">
        <f t="shared" si="36"/>
        <v>0</v>
      </c>
      <c r="AK9" s="739">
        <f t="shared" si="37"/>
        <v>0</v>
      </c>
      <c r="AL9" s="739">
        <f t="shared" si="38"/>
        <v>0</v>
      </c>
      <c r="AM9" s="739">
        <f t="shared" si="39"/>
        <v>0</v>
      </c>
      <c r="AN9" s="739">
        <f t="shared" si="40"/>
        <v>0</v>
      </c>
      <c r="AO9" s="739">
        <f t="shared" si="41"/>
        <v>0</v>
      </c>
      <c r="AP9" s="739">
        <f t="shared" si="42"/>
        <v>0</v>
      </c>
      <c r="AQ9" s="739">
        <f t="shared" si="43"/>
        <v>0</v>
      </c>
      <c r="AR9" s="739">
        <f t="shared" si="44"/>
        <v>0</v>
      </c>
      <c r="AS9" s="739">
        <f t="shared" si="45"/>
        <v>0</v>
      </c>
      <c r="AT9" s="189" t="e">
        <f>MDURATION([1]!EFFDATE,E9,F9,C9/100,2)</f>
        <v>#NAME?</v>
      </c>
      <c r="AU9" s="190">
        <f t="shared" si="0"/>
        <v>0</v>
      </c>
      <c r="AV9" s="191">
        <f t="shared" si="1"/>
        <v>0</v>
      </c>
      <c r="AW9" s="192">
        <f t="shared" si="2"/>
        <v>0</v>
      </c>
      <c r="AX9" s="192">
        <f t="shared" si="3"/>
        <v>0</v>
      </c>
      <c r="AY9" s="192">
        <f t="shared" si="4"/>
        <v>0</v>
      </c>
      <c r="AZ9" s="192">
        <f t="shared" si="5"/>
        <v>0</v>
      </c>
      <c r="BA9" s="192">
        <f t="shared" si="6"/>
        <v>0</v>
      </c>
      <c r="BB9" s="192">
        <f t="shared" si="7"/>
        <v>0</v>
      </c>
      <c r="BC9" s="187"/>
      <c r="BD9" s="28">
        <v>1.00000000001</v>
      </c>
      <c r="BE9" s="28">
        <v>1.00000000001</v>
      </c>
      <c r="BF9" s="28">
        <v>2</v>
      </c>
      <c r="BG9" s="740">
        <v>0.0125</v>
      </c>
      <c r="BH9" s="9"/>
      <c r="BI9" s="9"/>
      <c r="BJ9" s="9"/>
      <c r="BK9" s="9"/>
      <c r="BL9" s="9"/>
      <c r="BM9" s="9"/>
      <c r="BN9" s="9"/>
      <c r="BO9" s="9"/>
      <c r="BP9" s="9"/>
      <c r="BQ9" s="9"/>
      <c r="BR9" s="9"/>
      <c r="BS9" s="9"/>
      <c r="BT9" s="9"/>
      <c r="BU9" s="9"/>
      <c r="BV9" s="9"/>
      <c r="BW9" s="9"/>
      <c r="BX9" s="9"/>
    </row>
    <row r="10" spans="1:76" ht="12.75">
      <c r="A10" s="183" t="s">
        <v>215</v>
      </c>
      <c r="B10" s="735"/>
      <c r="C10" s="551"/>
      <c r="D10" s="766" t="s">
        <v>13</v>
      </c>
      <c r="E10" s="193">
        <v>37271</v>
      </c>
      <c r="F10" s="194">
        <v>0.125</v>
      </c>
      <c r="G10" s="186">
        <v>1</v>
      </c>
      <c r="H10" s="187">
        <f t="shared" si="8"/>
        <v>0</v>
      </c>
      <c r="I10" s="738">
        <f t="shared" si="9"/>
        <v>0</v>
      </c>
      <c r="J10" s="187">
        <f t="shared" si="10"/>
        <v>0</v>
      </c>
      <c r="K10" s="187">
        <f t="shared" si="11"/>
        <v>0</v>
      </c>
      <c r="L10" s="187">
        <f t="shared" si="12"/>
        <v>0</v>
      </c>
      <c r="M10" s="187">
        <f t="shared" si="13"/>
        <v>0</v>
      </c>
      <c r="N10" s="188">
        <f t="shared" si="14"/>
        <v>1</v>
      </c>
      <c r="O10" s="739">
        <f t="shared" si="15"/>
        <v>0</v>
      </c>
      <c r="P10" s="739">
        <f t="shared" si="16"/>
        <v>0</v>
      </c>
      <c r="Q10" s="739">
        <f t="shared" si="17"/>
        <v>0</v>
      </c>
      <c r="R10" s="739">
        <f t="shared" si="18"/>
        <v>0</v>
      </c>
      <c r="S10" s="739">
        <f t="shared" si="19"/>
        <v>0</v>
      </c>
      <c r="T10" s="739">
        <f t="shared" si="20"/>
        <v>0</v>
      </c>
      <c r="U10" s="739">
        <f t="shared" si="21"/>
        <v>0</v>
      </c>
      <c r="V10" s="739">
        <f t="shared" si="22"/>
        <v>0</v>
      </c>
      <c r="W10" s="739">
        <f t="shared" si="23"/>
        <v>0</v>
      </c>
      <c r="X10" s="739">
        <f t="shared" si="24"/>
        <v>0</v>
      </c>
      <c r="Y10" s="739">
        <f t="shared" si="25"/>
        <v>0</v>
      </c>
      <c r="Z10" s="739">
        <f t="shared" si="26"/>
        <v>0</v>
      </c>
      <c r="AA10" s="739">
        <f t="shared" si="27"/>
        <v>0</v>
      </c>
      <c r="AB10" s="739">
        <f t="shared" si="28"/>
        <v>0</v>
      </c>
      <c r="AC10" s="739">
        <f t="shared" si="29"/>
        <v>0</v>
      </c>
      <c r="AD10" s="739">
        <f t="shared" si="30"/>
        <v>0</v>
      </c>
      <c r="AE10" s="739">
        <f t="shared" si="31"/>
        <v>0</v>
      </c>
      <c r="AF10" s="739">
        <f t="shared" si="32"/>
        <v>0</v>
      </c>
      <c r="AG10" s="739">
        <f t="shared" si="33"/>
        <v>0</v>
      </c>
      <c r="AH10" s="739">
        <f t="shared" si="34"/>
        <v>0</v>
      </c>
      <c r="AI10" s="739">
        <f t="shared" si="35"/>
        <v>0</v>
      </c>
      <c r="AJ10" s="739">
        <f t="shared" si="36"/>
        <v>0</v>
      </c>
      <c r="AK10" s="739">
        <f t="shared" si="37"/>
        <v>0</v>
      </c>
      <c r="AL10" s="739">
        <f t="shared" si="38"/>
        <v>0</v>
      </c>
      <c r="AM10" s="739">
        <f t="shared" si="39"/>
        <v>0</v>
      </c>
      <c r="AN10" s="739">
        <f t="shared" si="40"/>
        <v>0</v>
      </c>
      <c r="AO10" s="739">
        <f t="shared" si="41"/>
        <v>0</v>
      </c>
      <c r="AP10" s="739">
        <f t="shared" si="42"/>
        <v>0</v>
      </c>
      <c r="AQ10" s="739">
        <f t="shared" si="43"/>
        <v>0</v>
      </c>
      <c r="AR10" s="739">
        <f t="shared" si="44"/>
        <v>0</v>
      </c>
      <c r="AS10" s="739">
        <f t="shared" si="45"/>
        <v>0</v>
      </c>
      <c r="AT10" s="189" t="e">
        <f>MDURATION([1]!EFFDATE,E10,F10,C10/100,2)</f>
        <v>#NAME?</v>
      </c>
      <c r="AU10" s="190">
        <f t="shared" si="0"/>
        <v>0</v>
      </c>
      <c r="AV10" s="191">
        <f t="shared" si="1"/>
        <v>0</v>
      </c>
      <c r="AW10" s="192">
        <f t="shared" si="2"/>
        <v>0</v>
      </c>
      <c r="AX10" s="192">
        <f t="shared" si="3"/>
        <v>0</v>
      </c>
      <c r="AY10" s="192">
        <f t="shared" si="4"/>
        <v>0</v>
      </c>
      <c r="AZ10" s="192">
        <f t="shared" si="5"/>
        <v>0</v>
      </c>
      <c r="BA10" s="192">
        <f t="shared" si="6"/>
        <v>0</v>
      </c>
      <c r="BB10" s="192">
        <f t="shared" si="7"/>
        <v>0</v>
      </c>
      <c r="BC10" s="187"/>
      <c r="BD10" s="28">
        <v>2.00000000001</v>
      </c>
      <c r="BE10" s="28">
        <v>1.90000000001</v>
      </c>
      <c r="BF10" s="28">
        <v>2</v>
      </c>
      <c r="BG10" s="740">
        <v>0.0175</v>
      </c>
      <c r="BH10" s="9"/>
      <c r="BI10" s="9"/>
      <c r="BJ10" s="9"/>
      <c r="BK10" s="9"/>
      <c r="BL10" s="9"/>
      <c r="BM10" s="9"/>
      <c r="BN10" s="9"/>
      <c r="BO10" s="9"/>
      <c r="BP10" s="9"/>
      <c r="BQ10" s="9"/>
      <c r="BR10" s="9"/>
      <c r="BS10" s="9"/>
      <c r="BT10" s="9"/>
      <c r="BU10" s="9"/>
      <c r="BV10" s="9"/>
      <c r="BW10" s="9"/>
      <c r="BX10" s="9"/>
    </row>
    <row r="11" spans="1:76" ht="12.75">
      <c r="A11" s="183" t="s">
        <v>216</v>
      </c>
      <c r="B11" s="735"/>
      <c r="C11" s="551"/>
      <c r="D11" s="766" t="s">
        <v>13</v>
      </c>
      <c r="E11" s="193">
        <v>37544</v>
      </c>
      <c r="F11" s="185">
        <v>0.09</v>
      </c>
      <c r="G11" s="186">
        <v>1</v>
      </c>
      <c r="H11" s="187">
        <f t="shared" si="8"/>
        <v>0</v>
      </c>
      <c r="I11" s="738">
        <f t="shared" si="9"/>
        <v>0</v>
      </c>
      <c r="J11" s="187">
        <f t="shared" si="10"/>
        <v>0</v>
      </c>
      <c r="K11" s="187">
        <f t="shared" si="11"/>
        <v>0</v>
      </c>
      <c r="L11" s="187">
        <f t="shared" si="12"/>
        <v>0</v>
      </c>
      <c r="M11" s="187">
        <f t="shared" si="13"/>
        <v>0</v>
      </c>
      <c r="N11" s="188">
        <f t="shared" si="14"/>
        <v>1</v>
      </c>
      <c r="O11" s="739">
        <f t="shared" si="15"/>
        <v>0</v>
      </c>
      <c r="P11" s="739">
        <f t="shared" si="16"/>
        <v>0</v>
      </c>
      <c r="Q11" s="739">
        <f t="shared" si="17"/>
        <v>0</v>
      </c>
      <c r="R11" s="739">
        <f t="shared" si="18"/>
        <v>0</v>
      </c>
      <c r="S11" s="739">
        <f t="shared" si="19"/>
        <v>0</v>
      </c>
      <c r="T11" s="739">
        <f t="shared" si="20"/>
        <v>0</v>
      </c>
      <c r="U11" s="739">
        <f t="shared" si="21"/>
        <v>0</v>
      </c>
      <c r="V11" s="739">
        <f t="shared" si="22"/>
        <v>0</v>
      </c>
      <c r="W11" s="739">
        <f t="shared" si="23"/>
        <v>0</v>
      </c>
      <c r="X11" s="739">
        <f t="shared" si="24"/>
        <v>0</v>
      </c>
      <c r="Y11" s="739">
        <f t="shared" si="25"/>
        <v>0</v>
      </c>
      <c r="Z11" s="739">
        <f t="shared" si="26"/>
        <v>0</v>
      </c>
      <c r="AA11" s="739">
        <f t="shared" si="27"/>
        <v>0</v>
      </c>
      <c r="AB11" s="739">
        <f t="shared" si="28"/>
        <v>0</v>
      </c>
      <c r="AC11" s="739">
        <f t="shared" si="29"/>
        <v>0</v>
      </c>
      <c r="AD11" s="739">
        <f t="shared" si="30"/>
        <v>0</v>
      </c>
      <c r="AE11" s="739">
        <f t="shared" si="31"/>
        <v>0</v>
      </c>
      <c r="AF11" s="739">
        <f t="shared" si="32"/>
        <v>0</v>
      </c>
      <c r="AG11" s="739">
        <f t="shared" si="33"/>
        <v>0</v>
      </c>
      <c r="AH11" s="739">
        <f t="shared" si="34"/>
        <v>0</v>
      </c>
      <c r="AI11" s="739">
        <f t="shared" si="35"/>
        <v>0</v>
      </c>
      <c r="AJ11" s="739">
        <f t="shared" si="36"/>
        <v>0</v>
      </c>
      <c r="AK11" s="739">
        <f t="shared" si="37"/>
        <v>0</v>
      </c>
      <c r="AL11" s="739">
        <f t="shared" si="38"/>
        <v>0</v>
      </c>
      <c r="AM11" s="739">
        <f t="shared" si="39"/>
        <v>0</v>
      </c>
      <c r="AN11" s="739">
        <f t="shared" si="40"/>
        <v>0</v>
      </c>
      <c r="AO11" s="739">
        <f t="shared" si="41"/>
        <v>0</v>
      </c>
      <c r="AP11" s="739">
        <f t="shared" si="42"/>
        <v>0</v>
      </c>
      <c r="AQ11" s="739">
        <f t="shared" si="43"/>
        <v>0</v>
      </c>
      <c r="AR11" s="739">
        <f t="shared" si="44"/>
        <v>0</v>
      </c>
      <c r="AS11" s="739">
        <f t="shared" si="45"/>
        <v>0</v>
      </c>
      <c r="AT11" s="189" t="e">
        <f>MDURATION([1]!EFFDATE,E11,F11,C11/100,2)</f>
        <v>#NAME?</v>
      </c>
      <c r="AU11" s="190">
        <f t="shared" si="0"/>
        <v>0</v>
      </c>
      <c r="AV11" s="191">
        <f t="shared" si="1"/>
        <v>0</v>
      </c>
      <c r="AW11" s="192">
        <f t="shared" si="2"/>
        <v>0</v>
      </c>
      <c r="AX11" s="192">
        <f t="shared" si="3"/>
        <v>0</v>
      </c>
      <c r="AY11" s="192">
        <f t="shared" si="4"/>
        <v>0</v>
      </c>
      <c r="AZ11" s="192">
        <f t="shared" si="5"/>
        <v>0</v>
      </c>
      <c r="BA11" s="192">
        <f t="shared" si="6"/>
        <v>0</v>
      </c>
      <c r="BB11" s="192">
        <f t="shared" si="7"/>
        <v>0</v>
      </c>
      <c r="BC11" s="187"/>
      <c r="BD11" s="28">
        <v>3.00000000001</v>
      </c>
      <c r="BE11" s="28">
        <v>2.80000000001</v>
      </c>
      <c r="BF11" s="28">
        <v>2</v>
      </c>
      <c r="BG11" s="740">
        <v>0.0225</v>
      </c>
      <c r="BH11" s="9"/>
      <c r="BI11" s="9"/>
      <c r="BJ11" s="9"/>
      <c r="BK11" s="9"/>
      <c r="BL11" s="9"/>
      <c r="BM11" s="9"/>
      <c r="BN11" s="9"/>
      <c r="BO11" s="9"/>
      <c r="BP11" s="9"/>
      <c r="BQ11" s="9"/>
      <c r="BR11" s="9"/>
      <c r="BS11" s="9"/>
      <c r="BT11" s="9"/>
      <c r="BU11" s="9"/>
      <c r="BV11" s="9"/>
      <c r="BW11" s="9"/>
      <c r="BX11" s="9"/>
    </row>
    <row r="12" spans="1:76" ht="12.75">
      <c r="A12" s="183" t="s">
        <v>217</v>
      </c>
      <c r="B12" s="735"/>
      <c r="C12" s="551"/>
      <c r="D12" s="766" t="s">
        <v>13</v>
      </c>
      <c r="E12" s="193">
        <v>39217</v>
      </c>
      <c r="F12" s="194">
        <v>0.095</v>
      </c>
      <c r="G12" s="186">
        <v>1</v>
      </c>
      <c r="H12" s="187">
        <f t="shared" si="8"/>
        <v>0</v>
      </c>
      <c r="I12" s="738">
        <f t="shared" si="9"/>
        <v>0</v>
      </c>
      <c r="J12" s="187">
        <f t="shared" si="10"/>
        <v>0</v>
      </c>
      <c r="K12" s="187">
        <f t="shared" si="11"/>
        <v>0</v>
      </c>
      <c r="L12" s="187">
        <f t="shared" si="12"/>
        <v>0</v>
      </c>
      <c r="M12" s="187">
        <f t="shared" si="13"/>
        <v>0</v>
      </c>
      <c r="N12" s="188">
        <f t="shared" si="14"/>
        <v>1</v>
      </c>
      <c r="O12" s="739">
        <f t="shared" si="15"/>
        <v>0</v>
      </c>
      <c r="P12" s="739">
        <f t="shared" si="16"/>
        <v>0</v>
      </c>
      <c r="Q12" s="739">
        <f t="shared" si="17"/>
        <v>0</v>
      </c>
      <c r="R12" s="739">
        <f t="shared" si="18"/>
        <v>0</v>
      </c>
      <c r="S12" s="739">
        <f t="shared" si="19"/>
        <v>0</v>
      </c>
      <c r="T12" s="739">
        <f t="shared" si="20"/>
        <v>0</v>
      </c>
      <c r="U12" s="739">
        <f t="shared" si="21"/>
        <v>0</v>
      </c>
      <c r="V12" s="739">
        <f t="shared" si="22"/>
        <v>0</v>
      </c>
      <c r="W12" s="739">
        <f t="shared" si="23"/>
        <v>0</v>
      </c>
      <c r="X12" s="739">
        <f t="shared" si="24"/>
        <v>0</v>
      </c>
      <c r="Y12" s="739">
        <f t="shared" si="25"/>
        <v>0</v>
      </c>
      <c r="Z12" s="739">
        <f t="shared" si="26"/>
        <v>0</v>
      </c>
      <c r="AA12" s="739">
        <f t="shared" si="27"/>
        <v>0</v>
      </c>
      <c r="AB12" s="739">
        <f t="shared" si="28"/>
        <v>0</v>
      </c>
      <c r="AC12" s="739">
        <f t="shared" si="29"/>
        <v>0</v>
      </c>
      <c r="AD12" s="739">
        <f t="shared" si="30"/>
        <v>0</v>
      </c>
      <c r="AE12" s="739">
        <f t="shared" si="31"/>
        <v>0</v>
      </c>
      <c r="AF12" s="739">
        <f t="shared" si="32"/>
        <v>0</v>
      </c>
      <c r="AG12" s="739">
        <f t="shared" si="33"/>
        <v>0</v>
      </c>
      <c r="AH12" s="739">
        <f t="shared" si="34"/>
        <v>0</v>
      </c>
      <c r="AI12" s="739">
        <f t="shared" si="35"/>
        <v>0</v>
      </c>
      <c r="AJ12" s="739">
        <f t="shared" si="36"/>
        <v>0</v>
      </c>
      <c r="AK12" s="739">
        <f t="shared" si="37"/>
        <v>0</v>
      </c>
      <c r="AL12" s="739">
        <f t="shared" si="38"/>
        <v>0</v>
      </c>
      <c r="AM12" s="739">
        <f t="shared" si="39"/>
        <v>0</v>
      </c>
      <c r="AN12" s="739">
        <f t="shared" si="40"/>
        <v>0</v>
      </c>
      <c r="AO12" s="739">
        <f t="shared" si="41"/>
        <v>0</v>
      </c>
      <c r="AP12" s="739">
        <f t="shared" si="42"/>
        <v>0</v>
      </c>
      <c r="AQ12" s="739">
        <f t="shared" si="43"/>
        <v>0</v>
      </c>
      <c r="AR12" s="739">
        <f t="shared" si="44"/>
        <v>0</v>
      </c>
      <c r="AS12" s="739">
        <f t="shared" si="45"/>
        <v>0</v>
      </c>
      <c r="AT12" s="189" t="e">
        <f>MDURATION([1]!EFFDATE,E12,F12,C12/100,2)</f>
        <v>#NAME?</v>
      </c>
      <c r="AU12" s="190">
        <f t="shared" si="0"/>
        <v>0</v>
      </c>
      <c r="AV12" s="191">
        <f t="shared" si="1"/>
        <v>0</v>
      </c>
      <c r="AW12" s="192">
        <f t="shared" si="2"/>
        <v>0</v>
      </c>
      <c r="AX12" s="192">
        <f t="shared" si="3"/>
        <v>0</v>
      </c>
      <c r="AY12" s="192">
        <f t="shared" si="4"/>
        <v>0</v>
      </c>
      <c r="AZ12" s="192">
        <f t="shared" si="5"/>
        <v>0</v>
      </c>
      <c r="BA12" s="192">
        <f t="shared" si="6"/>
        <v>0</v>
      </c>
      <c r="BB12" s="192">
        <f t="shared" si="7"/>
        <v>0</v>
      </c>
      <c r="BC12" s="187"/>
      <c r="BD12" s="28">
        <v>4.00000000001</v>
      </c>
      <c r="BE12" s="28">
        <v>3.60000000001</v>
      </c>
      <c r="BF12" s="28">
        <v>3</v>
      </c>
      <c r="BG12" s="740">
        <v>0.0275</v>
      </c>
      <c r="BH12" s="9"/>
      <c r="BI12" s="9"/>
      <c r="BJ12" s="9"/>
      <c r="BK12" s="9"/>
      <c r="BL12" s="9"/>
      <c r="BM12" s="9"/>
      <c r="BN12" s="9"/>
      <c r="BO12" s="9"/>
      <c r="BP12" s="9"/>
      <c r="BQ12" s="9"/>
      <c r="BR12" s="9"/>
      <c r="BS12" s="9"/>
      <c r="BT12" s="9"/>
      <c r="BU12" s="9"/>
      <c r="BV12" s="9"/>
      <c r="BW12" s="9"/>
      <c r="BX12" s="9"/>
    </row>
    <row r="13" spans="1:76" ht="12.75">
      <c r="A13" s="183" t="s">
        <v>218</v>
      </c>
      <c r="B13" s="735"/>
      <c r="C13" s="551"/>
      <c r="D13" s="766" t="s">
        <v>13</v>
      </c>
      <c r="E13" s="193">
        <v>39453</v>
      </c>
      <c r="F13" s="185">
        <v>0.11</v>
      </c>
      <c r="G13" s="186">
        <v>1</v>
      </c>
      <c r="H13" s="187">
        <f t="shared" si="8"/>
        <v>0</v>
      </c>
      <c r="I13" s="738">
        <f t="shared" si="9"/>
        <v>0</v>
      </c>
      <c r="J13" s="187">
        <f t="shared" si="10"/>
        <v>0</v>
      </c>
      <c r="K13" s="187">
        <f t="shared" si="11"/>
        <v>0</v>
      </c>
      <c r="L13" s="187">
        <f t="shared" si="12"/>
        <v>0</v>
      </c>
      <c r="M13" s="187">
        <f t="shared" si="13"/>
        <v>0</v>
      </c>
      <c r="N13" s="188">
        <f t="shared" si="14"/>
        <v>1</v>
      </c>
      <c r="O13" s="739">
        <f t="shared" si="15"/>
        <v>0</v>
      </c>
      <c r="P13" s="739">
        <f t="shared" si="16"/>
        <v>0</v>
      </c>
      <c r="Q13" s="739">
        <f t="shared" si="17"/>
        <v>0</v>
      </c>
      <c r="R13" s="739">
        <f t="shared" si="18"/>
        <v>0</v>
      </c>
      <c r="S13" s="739">
        <f t="shared" si="19"/>
        <v>0</v>
      </c>
      <c r="T13" s="739">
        <f t="shared" si="20"/>
        <v>0</v>
      </c>
      <c r="U13" s="739">
        <f t="shared" si="21"/>
        <v>0</v>
      </c>
      <c r="V13" s="739">
        <f t="shared" si="22"/>
        <v>0</v>
      </c>
      <c r="W13" s="739">
        <f t="shared" si="23"/>
        <v>0</v>
      </c>
      <c r="X13" s="739">
        <f t="shared" si="24"/>
        <v>0</v>
      </c>
      <c r="Y13" s="739">
        <f t="shared" si="25"/>
        <v>0</v>
      </c>
      <c r="Z13" s="739">
        <f t="shared" si="26"/>
        <v>0</v>
      </c>
      <c r="AA13" s="739">
        <f t="shared" si="27"/>
        <v>0</v>
      </c>
      <c r="AB13" s="739">
        <f t="shared" si="28"/>
        <v>0</v>
      </c>
      <c r="AC13" s="739">
        <f t="shared" si="29"/>
        <v>0</v>
      </c>
      <c r="AD13" s="739">
        <f t="shared" si="30"/>
        <v>0</v>
      </c>
      <c r="AE13" s="739">
        <f t="shared" si="31"/>
        <v>0</v>
      </c>
      <c r="AF13" s="739">
        <f t="shared" si="32"/>
        <v>0</v>
      </c>
      <c r="AG13" s="739">
        <f t="shared" si="33"/>
        <v>0</v>
      </c>
      <c r="AH13" s="739">
        <f t="shared" si="34"/>
        <v>0</v>
      </c>
      <c r="AI13" s="739">
        <f t="shared" si="35"/>
        <v>0</v>
      </c>
      <c r="AJ13" s="739">
        <f t="shared" si="36"/>
        <v>0</v>
      </c>
      <c r="AK13" s="739">
        <f t="shared" si="37"/>
        <v>0</v>
      </c>
      <c r="AL13" s="739">
        <f t="shared" si="38"/>
        <v>0</v>
      </c>
      <c r="AM13" s="739">
        <f t="shared" si="39"/>
        <v>0</v>
      </c>
      <c r="AN13" s="739">
        <f t="shared" si="40"/>
        <v>0</v>
      </c>
      <c r="AO13" s="739">
        <f t="shared" si="41"/>
        <v>0</v>
      </c>
      <c r="AP13" s="739">
        <f t="shared" si="42"/>
        <v>0</v>
      </c>
      <c r="AQ13" s="739">
        <f t="shared" si="43"/>
        <v>0</v>
      </c>
      <c r="AR13" s="739">
        <f t="shared" si="44"/>
        <v>0</v>
      </c>
      <c r="AS13" s="739">
        <f t="shared" si="45"/>
        <v>0</v>
      </c>
      <c r="AT13" s="189" t="e">
        <f>MDURATION([1]!EFFDATE,E13,F13,C13/100,2)</f>
        <v>#NAME?</v>
      </c>
      <c r="AU13" s="190">
        <f t="shared" si="0"/>
        <v>0</v>
      </c>
      <c r="AV13" s="191">
        <f t="shared" si="1"/>
        <v>0</v>
      </c>
      <c r="AW13" s="192">
        <f t="shared" si="2"/>
        <v>0</v>
      </c>
      <c r="AX13" s="192">
        <f t="shared" si="3"/>
        <v>0</v>
      </c>
      <c r="AY13" s="192">
        <f t="shared" si="4"/>
        <v>0</v>
      </c>
      <c r="AZ13" s="192">
        <f t="shared" si="5"/>
        <v>0</v>
      </c>
      <c r="BA13" s="192">
        <f t="shared" si="6"/>
        <v>0</v>
      </c>
      <c r="BB13" s="192">
        <f t="shared" si="7"/>
        <v>0</v>
      </c>
      <c r="BC13" s="187"/>
      <c r="BD13" s="28">
        <v>5.00000000001</v>
      </c>
      <c r="BE13" s="28">
        <v>4.30000000001</v>
      </c>
      <c r="BF13" s="28">
        <v>3</v>
      </c>
      <c r="BG13" s="740">
        <v>0.0325</v>
      </c>
      <c r="BH13" s="9"/>
      <c r="BI13" s="9"/>
      <c r="BJ13" s="9"/>
      <c r="BK13" s="9"/>
      <c r="BL13" s="9"/>
      <c r="BM13" s="9"/>
      <c r="BN13" s="9"/>
      <c r="BO13" s="9"/>
      <c r="BP13" s="9"/>
      <c r="BQ13" s="9"/>
      <c r="BR13" s="9"/>
      <c r="BS13" s="9"/>
      <c r="BT13" s="9"/>
      <c r="BU13" s="9"/>
      <c r="BV13" s="9"/>
      <c r="BW13" s="9"/>
      <c r="BX13" s="9"/>
    </row>
    <row r="14" spans="1:76" ht="12.75">
      <c r="A14" s="183" t="s">
        <v>219</v>
      </c>
      <c r="B14" s="735"/>
      <c r="C14" s="551"/>
      <c r="D14" s="766" t="s">
        <v>13</v>
      </c>
      <c r="E14" s="193">
        <v>35805</v>
      </c>
      <c r="F14" s="185">
        <v>0.15</v>
      </c>
      <c r="G14" s="186">
        <v>1</v>
      </c>
      <c r="H14" s="187">
        <f t="shared" si="8"/>
        <v>0</v>
      </c>
      <c r="I14" s="738">
        <f t="shared" si="9"/>
        <v>0</v>
      </c>
      <c r="J14" s="187">
        <f t="shared" si="10"/>
        <v>0</v>
      </c>
      <c r="K14" s="187">
        <f t="shared" si="11"/>
        <v>0</v>
      </c>
      <c r="L14" s="187">
        <f t="shared" si="12"/>
        <v>0</v>
      </c>
      <c r="M14" s="187">
        <f t="shared" si="13"/>
        <v>0</v>
      </c>
      <c r="N14" s="188">
        <f t="shared" si="14"/>
        <v>1</v>
      </c>
      <c r="O14" s="739">
        <f t="shared" si="15"/>
        <v>0</v>
      </c>
      <c r="P14" s="739">
        <f t="shared" si="16"/>
        <v>0</v>
      </c>
      <c r="Q14" s="739">
        <f t="shared" si="17"/>
        <v>0</v>
      </c>
      <c r="R14" s="739">
        <f t="shared" si="18"/>
        <v>0</v>
      </c>
      <c r="S14" s="739">
        <f t="shared" si="19"/>
        <v>0</v>
      </c>
      <c r="T14" s="739">
        <f t="shared" si="20"/>
        <v>0</v>
      </c>
      <c r="U14" s="739">
        <f t="shared" si="21"/>
        <v>0</v>
      </c>
      <c r="V14" s="739">
        <f t="shared" si="22"/>
        <v>0</v>
      </c>
      <c r="W14" s="739">
        <f t="shared" si="23"/>
        <v>0</v>
      </c>
      <c r="X14" s="739">
        <f t="shared" si="24"/>
        <v>0</v>
      </c>
      <c r="Y14" s="739">
        <f t="shared" si="25"/>
        <v>0</v>
      </c>
      <c r="Z14" s="739">
        <f t="shared" si="26"/>
        <v>0</v>
      </c>
      <c r="AA14" s="739">
        <f t="shared" si="27"/>
        <v>0</v>
      </c>
      <c r="AB14" s="739">
        <f t="shared" si="28"/>
        <v>0</v>
      </c>
      <c r="AC14" s="739">
        <f t="shared" si="29"/>
        <v>0</v>
      </c>
      <c r="AD14" s="739">
        <f t="shared" si="30"/>
        <v>0</v>
      </c>
      <c r="AE14" s="739">
        <f t="shared" si="31"/>
        <v>0</v>
      </c>
      <c r="AF14" s="739">
        <f t="shared" si="32"/>
        <v>0</v>
      </c>
      <c r="AG14" s="739">
        <f t="shared" si="33"/>
        <v>0</v>
      </c>
      <c r="AH14" s="739">
        <f t="shared" si="34"/>
        <v>0</v>
      </c>
      <c r="AI14" s="739">
        <f t="shared" si="35"/>
        <v>0</v>
      </c>
      <c r="AJ14" s="739">
        <f t="shared" si="36"/>
        <v>0</v>
      </c>
      <c r="AK14" s="739">
        <f t="shared" si="37"/>
        <v>0</v>
      </c>
      <c r="AL14" s="739">
        <f t="shared" si="38"/>
        <v>0</v>
      </c>
      <c r="AM14" s="739">
        <f t="shared" si="39"/>
        <v>0</v>
      </c>
      <c r="AN14" s="739">
        <f t="shared" si="40"/>
        <v>0</v>
      </c>
      <c r="AO14" s="739">
        <f t="shared" si="41"/>
        <v>0</v>
      </c>
      <c r="AP14" s="739">
        <f t="shared" si="42"/>
        <v>0</v>
      </c>
      <c r="AQ14" s="739">
        <f t="shared" si="43"/>
        <v>0</v>
      </c>
      <c r="AR14" s="739">
        <f t="shared" si="44"/>
        <v>0</v>
      </c>
      <c r="AS14" s="739">
        <f t="shared" si="45"/>
        <v>0</v>
      </c>
      <c r="AT14" s="189" t="e">
        <f>MDURATION([1]!EFFDATE,E14,F14,C14/100,2)</f>
        <v>#NAME?</v>
      </c>
      <c r="AU14" s="190">
        <f t="shared" si="0"/>
        <v>0</v>
      </c>
      <c r="AV14" s="191">
        <f t="shared" si="1"/>
        <v>0</v>
      </c>
      <c r="AW14" s="192">
        <f t="shared" si="2"/>
        <v>0</v>
      </c>
      <c r="AX14" s="192">
        <f t="shared" si="3"/>
        <v>0</v>
      </c>
      <c r="AY14" s="192">
        <f t="shared" si="4"/>
        <v>0</v>
      </c>
      <c r="AZ14" s="192">
        <f t="shared" si="5"/>
        <v>0</v>
      </c>
      <c r="BA14" s="192">
        <f t="shared" si="6"/>
        <v>0</v>
      </c>
      <c r="BB14" s="192">
        <f t="shared" si="7"/>
        <v>0</v>
      </c>
      <c r="BC14" s="187"/>
      <c r="BD14" s="28">
        <v>7.00000000001</v>
      </c>
      <c r="BE14" s="28">
        <v>5.70000000001</v>
      </c>
      <c r="BF14" s="28">
        <v>3</v>
      </c>
      <c r="BG14" s="740">
        <v>0.0375</v>
      </c>
      <c r="BH14" s="9"/>
      <c r="BI14" s="9"/>
      <c r="BJ14" s="9"/>
      <c r="BK14" s="9"/>
      <c r="BL14" s="9"/>
      <c r="BM14" s="9"/>
      <c r="BN14" s="9"/>
      <c r="BO14" s="9"/>
      <c r="BP14" s="9"/>
      <c r="BQ14" s="9"/>
      <c r="BR14" s="9"/>
      <c r="BS14" s="9"/>
      <c r="BT14" s="9"/>
      <c r="BU14" s="9"/>
      <c r="BV14" s="9"/>
      <c r="BW14" s="9"/>
      <c r="BX14" s="9"/>
    </row>
    <row r="15" spans="1:76" ht="12.75">
      <c r="A15" s="183" t="s">
        <v>220</v>
      </c>
      <c r="B15" s="735"/>
      <c r="C15" s="551"/>
      <c r="D15" s="766" t="s">
        <v>13</v>
      </c>
      <c r="E15" s="193">
        <v>43838</v>
      </c>
      <c r="F15" s="194">
        <v>0.135</v>
      </c>
      <c r="G15" s="186">
        <v>1</v>
      </c>
      <c r="H15" s="187">
        <f t="shared" si="8"/>
        <v>0</v>
      </c>
      <c r="I15" s="738">
        <f t="shared" si="9"/>
        <v>0</v>
      </c>
      <c r="J15" s="187">
        <f t="shared" si="10"/>
        <v>0</v>
      </c>
      <c r="K15" s="187">
        <f t="shared" si="11"/>
        <v>0</v>
      </c>
      <c r="L15" s="187">
        <f t="shared" si="12"/>
        <v>0</v>
      </c>
      <c r="M15" s="187">
        <f t="shared" si="13"/>
        <v>0</v>
      </c>
      <c r="N15" s="188">
        <f t="shared" si="14"/>
        <v>1</v>
      </c>
      <c r="O15" s="739">
        <f t="shared" si="15"/>
        <v>0</v>
      </c>
      <c r="P15" s="739">
        <f t="shared" si="16"/>
        <v>0</v>
      </c>
      <c r="Q15" s="739">
        <f t="shared" si="17"/>
        <v>0</v>
      </c>
      <c r="R15" s="739">
        <f t="shared" si="18"/>
        <v>0</v>
      </c>
      <c r="S15" s="739">
        <f t="shared" si="19"/>
        <v>0</v>
      </c>
      <c r="T15" s="739">
        <f t="shared" si="20"/>
        <v>0</v>
      </c>
      <c r="U15" s="739">
        <f t="shared" si="21"/>
        <v>0</v>
      </c>
      <c r="V15" s="739">
        <f t="shared" si="22"/>
        <v>0</v>
      </c>
      <c r="W15" s="739">
        <f t="shared" si="23"/>
        <v>0</v>
      </c>
      <c r="X15" s="739">
        <f t="shared" si="24"/>
        <v>0</v>
      </c>
      <c r="Y15" s="739">
        <f t="shared" si="25"/>
        <v>0</v>
      </c>
      <c r="Z15" s="739">
        <f t="shared" si="26"/>
        <v>0</v>
      </c>
      <c r="AA15" s="739">
        <f t="shared" si="27"/>
        <v>0</v>
      </c>
      <c r="AB15" s="739">
        <f t="shared" si="28"/>
        <v>0</v>
      </c>
      <c r="AC15" s="739">
        <f t="shared" si="29"/>
        <v>0</v>
      </c>
      <c r="AD15" s="739">
        <f t="shared" si="30"/>
        <v>0</v>
      </c>
      <c r="AE15" s="739">
        <f t="shared" si="31"/>
        <v>0</v>
      </c>
      <c r="AF15" s="739">
        <f t="shared" si="32"/>
        <v>0</v>
      </c>
      <c r="AG15" s="739">
        <f t="shared" si="33"/>
        <v>0</v>
      </c>
      <c r="AH15" s="739">
        <f t="shared" si="34"/>
        <v>0</v>
      </c>
      <c r="AI15" s="739">
        <f t="shared" si="35"/>
        <v>0</v>
      </c>
      <c r="AJ15" s="739">
        <f t="shared" si="36"/>
        <v>0</v>
      </c>
      <c r="AK15" s="739">
        <f t="shared" si="37"/>
        <v>0</v>
      </c>
      <c r="AL15" s="739">
        <f t="shared" si="38"/>
        <v>0</v>
      </c>
      <c r="AM15" s="739">
        <f t="shared" si="39"/>
        <v>0</v>
      </c>
      <c r="AN15" s="739">
        <f t="shared" si="40"/>
        <v>0</v>
      </c>
      <c r="AO15" s="739">
        <f t="shared" si="41"/>
        <v>0</v>
      </c>
      <c r="AP15" s="739">
        <f t="shared" si="42"/>
        <v>0</v>
      </c>
      <c r="AQ15" s="739">
        <f t="shared" si="43"/>
        <v>0</v>
      </c>
      <c r="AR15" s="739">
        <f t="shared" si="44"/>
        <v>0</v>
      </c>
      <c r="AS15" s="739">
        <f t="shared" si="45"/>
        <v>0</v>
      </c>
      <c r="AT15" s="189" t="e">
        <f>MDURATION([1]!EFFDATE,E15,F15,C15/100,2)</f>
        <v>#NAME?</v>
      </c>
      <c r="AU15" s="190">
        <f t="shared" si="0"/>
        <v>0</v>
      </c>
      <c r="AV15" s="191">
        <f t="shared" si="1"/>
        <v>0</v>
      </c>
      <c r="AW15" s="192">
        <f t="shared" si="2"/>
        <v>0</v>
      </c>
      <c r="AX15" s="192">
        <f t="shared" si="3"/>
        <v>0</v>
      </c>
      <c r="AY15" s="192">
        <f t="shared" si="4"/>
        <v>0</v>
      </c>
      <c r="AZ15" s="192">
        <f t="shared" si="5"/>
        <v>0</v>
      </c>
      <c r="BA15" s="192">
        <f t="shared" si="6"/>
        <v>0</v>
      </c>
      <c r="BB15" s="192">
        <f t="shared" si="7"/>
        <v>0</v>
      </c>
      <c r="BC15" s="187"/>
      <c r="BD15" s="28">
        <v>10.00000000001</v>
      </c>
      <c r="BE15" s="28">
        <v>7.30000000001</v>
      </c>
      <c r="BF15" s="28">
        <v>3</v>
      </c>
      <c r="BG15" s="740">
        <v>0.045</v>
      </c>
      <c r="BH15" s="9"/>
      <c r="BI15" s="9"/>
      <c r="BJ15" s="9"/>
      <c r="BK15" s="9"/>
      <c r="BL15" s="9"/>
      <c r="BM15" s="9"/>
      <c r="BN15" s="9"/>
      <c r="BO15" s="9"/>
      <c r="BP15" s="9"/>
      <c r="BQ15" s="9"/>
      <c r="BR15" s="9"/>
      <c r="BS15" s="9"/>
      <c r="BT15" s="9"/>
      <c r="BU15" s="9"/>
      <c r="BV15" s="9"/>
      <c r="BW15" s="9"/>
      <c r="BX15" s="9"/>
    </row>
    <row r="16" spans="1:76" ht="12.75">
      <c r="A16" s="183" t="s">
        <v>221</v>
      </c>
      <c r="B16" s="735"/>
      <c r="C16" s="551"/>
      <c r="D16" s="766" t="s">
        <v>13</v>
      </c>
      <c r="E16" s="193">
        <v>36900</v>
      </c>
      <c r="F16" s="185">
        <v>0.08</v>
      </c>
      <c r="G16" s="186">
        <v>1</v>
      </c>
      <c r="H16" s="187">
        <f t="shared" si="8"/>
        <v>0</v>
      </c>
      <c r="I16" s="738">
        <f t="shared" si="9"/>
        <v>0</v>
      </c>
      <c r="J16" s="187">
        <f t="shared" si="10"/>
        <v>0</v>
      </c>
      <c r="K16" s="187">
        <f t="shared" si="11"/>
        <v>0</v>
      </c>
      <c r="L16" s="187">
        <f t="shared" si="12"/>
        <v>0</v>
      </c>
      <c r="M16" s="187">
        <f t="shared" si="13"/>
        <v>0</v>
      </c>
      <c r="N16" s="188">
        <f t="shared" si="14"/>
        <v>1</v>
      </c>
      <c r="O16" s="739">
        <f t="shared" si="15"/>
        <v>0</v>
      </c>
      <c r="P16" s="739">
        <f t="shared" si="16"/>
        <v>0</v>
      </c>
      <c r="Q16" s="739">
        <f t="shared" si="17"/>
        <v>0</v>
      </c>
      <c r="R16" s="739">
        <f t="shared" si="18"/>
        <v>0</v>
      </c>
      <c r="S16" s="739">
        <f t="shared" si="19"/>
        <v>0</v>
      </c>
      <c r="T16" s="739">
        <f t="shared" si="20"/>
        <v>0</v>
      </c>
      <c r="U16" s="739">
        <f t="shared" si="21"/>
        <v>0</v>
      </c>
      <c r="V16" s="739">
        <f t="shared" si="22"/>
        <v>0</v>
      </c>
      <c r="W16" s="739">
        <f t="shared" si="23"/>
        <v>0</v>
      </c>
      <c r="X16" s="739">
        <f t="shared" si="24"/>
        <v>0</v>
      </c>
      <c r="Y16" s="739">
        <f t="shared" si="25"/>
        <v>0</v>
      </c>
      <c r="Z16" s="739">
        <f t="shared" si="26"/>
        <v>0</v>
      </c>
      <c r="AA16" s="739">
        <f t="shared" si="27"/>
        <v>0</v>
      </c>
      <c r="AB16" s="739">
        <f t="shared" si="28"/>
        <v>0</v>
      </c>
      <c r="AC16" s="739">
        <f t="shared" si="29"/>
        <v>0</v>
      </c>
      <c r="AD16" s="739">
        <f t="shared" si="30"/>
        <v>0</v>
      </c>
      <c r="AE16" s="739">
        <f t="shared" si="31"/>
        <v>0</v>
      </c>
      <c r="AF16" s="739">
        <f t="shared" si="32"/>
        <v>0</v>
      </c>
      <c r="AG16" s="739">
        <f t="shared" si="33"/>
        <v>0</v>
      </c>
      <c r="AH16" s="739">
        <f t="shared" si="34"/>
        <v>0</v>
      </c>
      <c r="AI16" s="739">
        <f t="shared" si="35"/>
        <v>0</v>
      </c>
      <c r="AJ16" s="739">
        <f t="shared" si="36"/>
        <v>0</v>
      </c>
      <c r="AK16" s="739">
        <f t="shared" si="37"/>
        <v>0</v>
      </c>
      <c r="AL16" s="739">
        <f t="shared" si="38"/>
        <v>0</v>
      </c>
      <c r="AM16" s="739">
        <f t="shared" si="39"/>
        <v>0</v>
      </c>
      <c r="AN16" s="739">
        <f t="shared" si="40"/>
        <v>0</v>
      </c>
      <c r="AO16" s="739">
        <f t="shared" si="41"/>
        <v>0</v>
      </c>
      <c r="AP16" s="739">
        <f t="shared" si="42"/>
        <v>0</v>
      </c>
      <c r="AQ16" s="739">
        <f t="shared" si="43"/>
        <v>0</v>
      </c>
      <c r="AR16" s="739">
        <f t="shared" si="44"/>
        <v>0</v>
      </c>
      <c r="AS16" s="739">
        <f t="shared" si="45"/>
        <v>0</v>
      </c>
      <c r="AT16" s="189" t="e">
        <f>MDURATION([1]!EFFDATE,E16,F16,C16/100,2)</f>
        <v>#NAME?</v>
      </c>
      <c r="AU16" s="190">
        <f t="shared" si="0"/>
        <v>0</v>
      </c>
      <c r="AV16" s="191">
        <f t="shared" si="1"/>
        <v>0</v>
      </c>
      <c r="AW16" s="192">
        <f t="shared" si="2"/>
        <v>0</v>
      </c>
      <c r="AX16" s="192">
        <f t="shared" si="3"/>
        <v>0</v>
      </c>
      <c r="AY16" s="192">
        <f t="shared" si="4"/>
        <v>0</v>
      </c>
      <c r="AZ16" s="192">
        <f t="shared" si="5"/>
        <v>0</v>
      </c>
      <c r="BA16" s="192">
        <f t="shared" si="6"/>
        <v>0</v>
      </c>
      <c r="BB16" s="192">
        <f t="shared" si="7"/>
        <v>0</v>
      </c>
      <c r="BC16" s="187"/>
      <c r="BD16" s="28">
        <v>15.00000000001</v>
      </c>
      <c r="BE16" s="28">
        <v>9.30000000001</v>
      </c>
      <c r="BF16" s="28">
        <v>3</v>
      </c>
      <c r="BG16" s="740">
        <v>0.0525</v>
      </c>
      <c r="BH16" s="9"/>
      <c r="BI16" s="9"/>
      <c r="BJ16" s="9"/>
      <c r="BK16" s="9"/>
      <c r="BL16" s="9"/>
      <c r="BM16" s="9"/>
      <c r="BN16" s="9"/>
      <c r="BO16" s="9"/>
      <c r="BP16" s="9"/>
      <c r="BQ16" s="9"/>
      <c r="BR16" s="9"/>
      <c r="BS16" s="9"/>
      <c r="BT16" s="9"/>
      <c r="BU16" s="9"/>
      <c r="BV16" s="9"/>
      <c r="BW16" s="9"/>
      <c r="BX16" s="9"/>
    </row>
    <row r="17" spans="1:76" ht="12.75">
      <c r="A17" s="183" t="s">
        <v>222</v>
      </c>
      <c r="B17" s="735"/>
      <c r="C17" s="551"/>
      <c r="D17" s="766" t="s">
        <v>13</v>
      </c>
      <c r="E17" s="193">
        <v>40359</v>
      </c>
      <c r="F17" s="194">
        <v>0.115</v>
      </c>
      <c r="G17" s="186">
        <v>2</v>
      </c>
      <c r="H17" s="187">
        <f t="shared" si="8"/>
        <v>0</v>
      </c>
      <c r="I17" s="738">
        <f t="shared" si="9"/>
        <v>0</v>
      </c>
      <c r="J17" s="187">
        <f t="shared" si="10"/>
        <v>0</v>
      </c>
      <c r="K17" s="187">
        <f t="shared" si="11"/>
        <v>0</v>
      </c>
      <c r="L17" s="187">
        <f t="shared" si="12"/>
        <v>0</v>
      </c>
      <c r="M17" s="187">
        <f t="shared" si="13"/>
        <v>0</v>
      </c>
      <c r="N17" s="188">
        <f t="shared" si="14"/>
        <v>1</v>
      </c>
      <c r="O17" s="739">
        <f t="shared" si="15"/>
        <v>0</v>
      </c>
      <c r="P17" s="739">
        <f t="shared" si="16"/>
        <v>0</v>
      </c>
      <c r="Q17" s="739">
        <f t="shared" si="17"/>
        <v>0</v>
      </c>
      <c r="R17" s="739">
        <f t="shared" si="18"/>
        <v>0</v>
      </c>
      <c r="S17" s="739">
        <f t="shared" si="19"/>
        <v>0</v>
      </c>
      <c r="T17" s="739">
        <f t="shared" si="20"/>
        <v>0</v>
      </c>
      <c r="U17" s="739">
        <f t="shared" si="21"/>
        <v>0</v>
      </c>
      <c r="V17" s="739">
        <f t="shared" si="22"/>
        <v>0</v>
      </c>
      <c r="W17" s="739">
        <f t="shared" si="23"/>
        <v>0</v>
      </c>
      <c r="X17" s="739">
        <f t="shared" si="24"/>
        <v>0</v>
      </c>
      <c r="Y17" s="739">
        <f t="shared" si="25"/>
        <v>0</v>
      </c>
      <c r="Z17" s="739">
        <f t="shared" si="26"/>
        <v>0</v>
      </c>
      <c r="AA17" s="739">
        <f t="shared" si="27"/>
        <v>0</v>
      </c>
      <c r="AB17" s="739">
        <f t="shared" si="28"/>
        <v>0</v>
      </c>
      <c r="AC17" s="739">
        <f t="shared" si="29"/>
        <v>0</v>
      </c>
      <c r="AD17" s="739">
        <f t="shared" si="30"/>
        <v>0</v>
      </c>
      <c r="AE17" s="739">
        <f t="shared" si="31"/>
        <v>0</v>
      </c>
      <c r="AF17" s="739">
        <f t="shared" si="32"/>
        <v>0</v>
      </c>
      <c r="AG17" s="739">
        <f t="shared" si="33"/>
        <v>0</v>
      </c>
      <c r="AH17" s="739">
        <f t="shared" si="34"/>
        <v>0</v>
      </c>
      <c r="AI17" s="739">
        <f t="shared" si="35"/>
        <v>0</v>
      </c>
      <c r="AJ17" s="739">
        <f t="shared" si="36"/>
        <v>0</v>
      </c>
      <c r="AK17" s="739">
        <f t="shared" si="37"/>
        <v>0</v>
      </c>
      <c r="AL17" s="739">
        <f t="shared" si="38"/>
        <v>0</v>
      </c>
      <c r="AM17" s="739">
        <f t="shared" si="39"/>
        <v>0</v>
      </c>
      <c r="AN17" s="739">
        <f t="shared" si="40"/>
        <v>0</v>
      </c>
      <c r="AO17" s="739">
        <f t="shared" si="41"/>
        <v>0</v>
      </c>
      <c r="AP17" s="739">
        <f t="shared" si="42"/>
        <v>0</v>
      </c>
      <c r="AQ17" s="739">
        <f t="shared" si="43"/>
        <v>0</v>
      </c>
      <c r="AR17" s="739">
        <f t="shared" si="44"/>
        <v>0</v>
      </c>
      <c r="AS17" s="739">
        <f t="shared" si="45"/>
        <v>0</v>
      </c>
      <c r="AT17" s="189" t="e">
        <f>MDURATION([1]!EFFDATE,E17,F17,C17/100,2)</f>
        <v>#NAME?</v>
      </c>
      <c r="AU17" s="190">
        <f t="shared" si="0"/>
        <v>0</v>
      </c>
      <c r="AV17" s="191">
        <f t="shared" si="1"/>
        <v>0</v>
      </c>
      <c r="AW17" s="192">
        <f t="shared" si="2"/>
        <v>0</v>
      </c>
      <c r="AX17" s="192">
        <f t="shared" si="3"/>
        <v>0</v>
      </c>
      <c r="AY17" s="192">
        <f t="shared" si="4"/>
        <v>0</v>
      </c>
      <c r="AZ17" s="192">
        <f t="shared" si="5"/>
        <v>0</v>
      </c>
      <c r="BA17" s="192">
        <f t="shared" si="6"/>
        <v>0</v>
      </c>
      <c r="BB17" s="192">
        <f t="shared" si="7"/>
        <v>0</v>
      </c>
      <c r="BC17" s="187"/>
      <c r="BD17" s="28">
        <v>20.00000000101</v>
      </c>
      <c r="BE17" s="28">
        <v>10.600000000009999</v>
      </c>
      <c r="BF17" s="28">
        <v>3</v>
      </c>
      <c r="BG17" s="740">
        <v>0.06</v>
      </c>
      <c r="BH17" s="9"/>
      <c r="BI17" s="9"/>
      <c r="BJ17" s="9"/>
      <c r="BK17" s="9"/>
      <c r="BL17" s="9"/>
      <c r="BM17" s="9"/>
      <c r="BN17" s="9"/>
      <c r="BO17" s="9"/>
      <c r="BP17" s="9"/>
      <c r="BQ17" s="9"/>
      <c r="BR17" s="9"/>
      <c r="BS17" s="9"/>
      <c r="BT17" s="9"/>
      <c r="BU17" s="9"/>
      <c r="BV17" s="9"/>
      <c r="BW17" s="9"/>
      <c r="BX17" s="9"/>
    </row>
    <row r="18" spans="1:76" ht="12.75">
      <c r="A18" s="183" t="s">
        <v>223</v>
      </c>
      <c r="B18" s="735"/>
      <c r="C18" s="551"/>
      <c r="D18" s="766" t="s">
        <v>13</v>
      </c>
      <c r="E18" s="193">
        <v>39538</v>
      </c>
      <c r="F18" s="185">
        <v>0.1</v>
      </c>
      <c r="G18" s="186">
        <v>2</v>
      </c>
      <c r="H18" s="187">
        <f t="shared" si="8"/>
        <v>0</v>
      </c>
      <c r="I18" s="738">
        <f t="shared" si="9"/>
        <v>0</v>
      </c>
      <c r="J18" s="187">
        <f t="shared" si="10"/>
        <v>0</v>
      </c>
      <c r="K18" s="187">
        <f t="shared" si="11"/>
        <v>0</v>
      </c>
      <c r="L18" s="187">
        <f t="shared" si="12"/>
        <v>0</v>
      </c>
      <c r="M18" s="187">
        <f t="shared" si="13"/>
        <v>0</v>
      </c>
      <c r="N18" s="188">
        <f t="shared" si="14"/>
        <v>1</v>
      </c>
      <c r="O18" s="739">
        <f t="shared" si="15"/>
        <v>0</v>
      </c>
      <c r="P18" s="739">
        <f t="shared" si="16"/>
        <v>0</v>
      </c>
      <c r="Q18" s="739">
        <f t="shared" si="17"/>
        <v>0</v>
      </c>
      <c r="R18" s="739">
        <f t="shared" si="18"/>
        <v>0</v>
      </c>
      <c r="S18" s="739">
        <f t="shared" si="19"/>
        <v>0</v>
      </c>
      <c r="T18" s="739">
        <f t="shared" si="20"/>
        <v>0</v>
      </c>
      <c r="U18" s="739">
        <f t="shared" si="21"/>
        <v>0</v>
      </c>
      <c r="V18" s="739">
        <f t="shared" si="22"/>
        <v>0</v>
      </c>
      <c r="W18" s="739">
        <f t="shared" si="23"/>
        <v>0</v>
      </c>
      <c r="X18" s="739">
        <f t="shared" si="24"/>
        <v>0</v>
      </c>
      <c r="Y18" s="739">
        <f t="shared" si="25"/>
        <v>0</v>
      </c>
      <c r="Z18" s="739">
        <f t="shared" si="26"/>
        <v>0</v>
      </c>
      <c r="AA18" s="739">
        <f t="shared" si="27"/>
        <v>0</v>
      </c>
      <c r="AB18" s="739">
        <f t="shared" si="28"/>
        <v>0</v>
      </c>
      <c r="AC18" s="739">
        <f t="shared" si="29"/>
        <v>0</v>
      </c>
      <c r="AD18" s="739">
        <f t="shared" si="30"/>
        <v>0</v>
      </c>
      <c r="AE18" s="739">
        <f t="shared" si="31"/>
        <v>0</v>
      </c>
      <c r="AF18" s="739">
        <f t="shared" si="32"/>
        <v>0</v>
      </c>
      <c r="AG18" s="739">
        <f t="shared" si="33"/>
        <v>0</v>
      </c>
      <c r="AH18" s="739">
        <f t="shared" si="34"/>
        <v>0</v>
      </c>
      <c r="AI18" s="739">
        <f t="shared" si="35"/>
        <v>0</v>
      </c>
      <c r="AJ18" s="739">
        <f t="shared" si="36"/>
        <v>0</v>
      </c>
      <c r="AK18" s="739">
        <f t="shared" si="37"/>
        <v>0</v>
      </c>
      <c r="AL18" s="739">
        <f t="shared" si="38"/>
        <v>0</v>
      </c>
      <c r="AM18" s="739">
        <f t="shared" si="39"/>
        <v>0</v>
      </c>
      <c r="AN18" s="739">
        <f t="shared" si="40"/>
        <v>0</v>
      </c>
      <c r="AO18" s="739">
        <f t="shared" si="41"/>
        <v>0</v>
      </c>
      <c r="AP18" s="739">
        <f t="shared" si="42"/>
        <v>0</v>
      </c>
      <c r="AQ18" s="739">
        <f t="shared" si="43"/>
        <v>0</v>
      </c>
      <c r="AR18" s="739">
        <f t="shared" si="44"/>
        <v>0</v>
      </c>
      <c r="AS18" s="739">
        <f t="shared" si="45"/>
        <v>0</v>
      </c>
      <c r="AT18" s="189" t="e">
        <f>MDURATION([1]!EFFDATE,E18,F18,C18/100,2)</f>
        <v>#NAME?</v>
      </c>
      <c r="AU18" s="190">
        <f t="shared" si="0"/>
        <v>0</v>
      </c>
      <c r="AV18" s="191">
        <f t="shared" si="1"/>
        <v>0</v>
      </c>
      <c r="AW18" s="192">
        <f t="shared" si="2"/>
        <v>0</v>
      </c>
      <c r="AX18" s="192">
        <f t="shared" si="3"/>
        <v>0</v>
      </c>
      <c r="AY18" s="192">
        <f t="shared" si="4"/>
        <v>0</v>
      </c>
      <c r="AZ18" s="192">
        <f t="shared" si="5"/>
        <v>0</v>
      </c>
      <c r="BA18" s="192">
        <f t="shared" si="6"/>
        <v>0</v>
      </c>
      <c r="BB18" s="192">
        <f t="shared" si="7"/>
        <v>0</v>
      </c>
      <c r="BC18" s="187"/>
      <c r="BD18" s="28"/>
      <c r="BE18" s="28">
        <v>12.00000000001</v>
      </c>
      <c r="BF18" s="28">
        <v>3</v>
      </c>
      <c r="BG18" s="740">
        <v>0.08</v>
      </c>
      <c r="BH18" s="9"/>
      <c r="BI18" s="9"/>
      <c r="BJ18" s="9"/>
      <c r="BK18" s="9"/>
      <c r="BL18" s="9"/>
      <c r="BM18" s="9"/>
      <c r="BN18" s="9"/>
      <c r="BO18" s="9"/>
      <c r="BP18" s="9"/>
      <c r="BQ18" s="9"/>
      <c r="BR18" s="9"/>
      <c r="BS18" s="9"/>
      <c r="BT18" s="9"/>
      <c r="BU18" s="9"/>
      <c r="BV18" s="9"/>
      <c r="BW18" s="9"/>
      <c r="BX18" s="9"/>
    </row>
    <row r="19" spans="1:76" ht="12.75">
      <c r="A19" s="183" t="s">
        <v>224</v>
      </c>
      <c r="B19" s="735"/>
      <c r="C19" s="551"/>
      <c r="D19" s="766" t="s">
        <v>13</v>
      </c>
      <c r="E19" s="193">
        <v>35885</v>
      </c>
      <c r="F19" s="185">
        <v>0.12</v>
      </c>
      <c r="G19" s="186">
        <v>2</v>
      </c>
      <c r="H19" s="187">
        <f t="shared" si="8"/>
        <v>0</v>
      </c>
      <c r="I19" s="738">
        <f t="shared" si="9"/>
        <v>0</v>
      </c>
      <c r="J19" s="187">
        <f t="shared" si="10"/>
        <v>0</v>
      </c>
      <c r="K19" s="187">
        <f t="shared" si="11"/>
        <v>0</v>
      </c>
      <c r="L19" s="187">
        <f t="shared" si="12"/>
        <v>0</v>
      </c>
      <c r="M19" s="187">
        <f t="shared" si="13"/>
        <v>0</v>
      </c>
      <c r="N19" s="188">
        <f t="shared" si="14"/>
        <v>1</v>
      </c>
      <c r="O19" s="739">
        <f t="shared" si="15"/>
        <v>0</v>
      </c>
      <c r="P19" s="739">
        <f t="shared" si="16"/>
        <v>0</v>
      </c>
      <c r="Q19" s="739">
        <f t="shared" si="17"/>
        <v>0</v>
      </c>
      <c r="R19" s="739">
        <f t="shared" si="18"/>
        <v>0</v>
      </c>
      <c r="S19" s="739">
        <f t="shared" si="19"/>
        <v>0</v>
      </c>
      <c r="T19" s="739">
        <f t="shared" si="20"/>
        <v>0</v>
      </c>
      <c r="U19" s="739">
        <f t="shared" si="21"/>
        <v>0</v>
      </c>
      <c r="V19" s="739">
        <f t="shared" si="22"/>
        <v>0</v>
      </c>
      <c r="W19" s="739">
        <f t="shared" si="23"/>
        <v>0</v>
      </c>
      <c r="X19" s="739">
        <f t="shared" si="24"/>
        <v>0</v>
      </c>
      <c r="Y19" s="739">
        <f t="shared" si="25"/>
        <v>0</v>
      </c>
      <c r="Z19" s="739">
        <f t="shared" si="26"/>
        <v>0</v>
      </c>
      <c r="AA19" s="739">
        <f t="shared" si="27"/>
        <v>0</v>
      </c>
      <c r="AB19" s="739">
        <f t="shared" si="28"/>
        <v>0</v>
      </c>
      <c r="AC19" s="739">
        <f t="shared" si="29"/>
        <v>0</v>
      </c>
      <c r="AD19" s="739">
        <f t="shared" si="30"/>
        <v>0</v>
      </c>
      <c r="AE19" s="739">
        <f t="shared" si="31"/>
        <v>0</v>
      </c>
      <c r="AF19" s="739">
        <f t="shared" si="32"/>
        <v>0</v>
      </c>
      <c r="AG19" s="739">
        <f t="shared" si="33"/>
        <v>0</v>
      </c>
      <c r="AH19" s="739">
        <f t="shared" si="34"/>
        <v>0</v>
      </c>
      <c r="AI19" s="739">
        <f t="shared" si="35"/>
        <v>0</v>
      </c>
      <c r="AJ19" s="739">
        <f t="shared" si="36"/>
        <v>0</v>
      </c>
      <c r="AK19" s="739">
        <f t="shared" si="37"/>
        <v>0</v>
      </c>
      <c r="AL19" s="739">
        <f t="shared" si="38"/>
        <v>0</v>
      </c>
      <c r="AM19" s="739">
        <f t="shared" si="39"/>
        <v>0</v>
      </c>
      <c r="AN19" s="739">
        <f t="shared" si="40"/>
        <v>0</v>
      </c>
      <c r="AO19" s="739">
        <f t="shared" si="41"/>
        <v>0</v>
      </c>
      <c r="AP19" s="739">
        <f t="shared" si="42"/>
        <v>0</v>
      </c>
      <c r="AQ19" s="739">
        <f t="shared" si="43"/>
        <v>0</v>
      </c>
      <c r="AR19" s="739">
        <f t="shared" si="44"/>
        <v>0</v>
      </c>
      <c r="AS19" s="739">
        <f t="shared" si="45"/>
        <v>0</v>
      </c>
      <c r="AT19" s="189" t="e">
        <f>MDURATION([1]!EFFDATE,E19,F19,C19/100,2)</f>
        <v>#NAME?</v>
      </c>
      <c r="AU19" s="190">
        <f t="shared" si="0"/>
        <v>0</v>
      </c>
      <c r="AV19" s="191">
        <f t="shared" si="1"/>
        <v>0</v>
      </c>
      <c r="AW19" s="192">
        <f t="shared" si="2"/>
        <v>0</v>
      </c>
      <c r="AX19" s="192">
        <f t="shared" si="3"/>
        <v>0</v>
      </c>
      <c r="AY19" s="192">
        <f t="shared" si="4"/>
        <v>0</v>
      </c>
      <c r="AZ19" s="192">
        <f t="shared" si="5"/>
        <v>0</v>
      </c>
      <c r="BA19" s="192">
        <f t="shared" si="6"/>
        <v>0</v>
      </c>
      <c r="BB19" s="192">
        <f t="shared" si="7"/>
        <v>0</v>
      </c>
      <c r="BC19" s="187"/>
      <c r="BD19" s="28"/>
      <c r="BE19" s="28">
        <v>20.00000000001</v>
      </c>
      <c r="BF19" s="28">
        <v>3</v>
      </c>
      <c r="BG19" s="740">
        <v>0.125</v>
      </c>
      <c r="BH19" s="9"/>
      <c r="BI19" s="9"/>
      <c r="BJ19" s="9"/>
      <c r="BK19" s="9"/>
      <c r="BL19" s="9"/>
      <c r="BM19" s="9"/>
      <c r="BN19" s="9"/>
      <c r="BO19" s="9"/>
      <c r="BP19" s="9"/>
      <c r="BQ19" s="9"/>
      <c r="BR19" s="9"/>
      <c r="BS19" s="9"/>
      <c r="BT19" s="9"/>
      <c r="BU19" s="9"/>
      <c r="BV19" s="9"/>
      <c r="BW19" s="9"/>
      <c r="BX19" s="9"/>
    </row>
    <row r="20" spans="1:76" ht="12.75">
      <c r="A20" s="183" t="s">
        <v>225</v>
      </c>
      <c r="B20" s="735"/>
      <c r="C20" s="551"/>
      <c r="D20" s="766" t="s">
        <v>13</v>
      </c>
      <c r="E20" s="193">
        <v>37260</v>
      </c>
      <c r="F20" s="194">
        <v>0.125</v>
      </c>
      <c r="G20" s="186">
        <v>2</v>
      </c>
      <c r="H20" s="187">
        <f t="shared" si="8"/>
        <v>0</v>
      </c>
      <c r="I20" s="738">
        <f t="shared" si="9"/>
        <v>0</v>
      </c>
      <c r="J20" s="187">
        <f t="shared" si="10"/>
        <v>0</v>
      </c>
      <c r="K20" s="187">
        <f t="shared" si="11"/>
        <v>0</v>
      </c>
      <c r="L20" s="187">
        <f t="shared" si="12"/>
        <v>0</v>
      </c>
      <c r="M20" s="187">
        <f t="shared" si="13"/>
        <v>0</v>
      </c>
      <c r="N20" s="188">
        <f t="shared" si="14"/>
        <v>1</v>
      </c>
      <c r="O20" s="739">
        <f t="shared" si="15"/>
        <v>0</v>
      </c>
      <c r="P20" s="739">
        <f t="shared" si="16"/>
        <v>0</v>
      </c>
      <c r="Q20" s="739">
        <f t="shared" si="17"/>
        <v>0</v>
      </c>
      <c r="R20" s="739">
        <f t="shared" si="18"/>
        <v>0</v>
      </c>
      <c r="S20" s="739">
        <f t="shared" si="19"/>
        <v>0</v>
      </c>
      <c r="T20" s="739">
        <f t="shared" si="20"/>
        <v>0</v>
      </c>
      <c r="U20" s="739">
        <f t="shared" si="21"/>
        <v>0</v>
      </c>
      <c r="V20" s="739">
        <f t="shared" si="22"/>
        <v>0</v>
      </c>
      <c r="W20" s="739">
        <f t="shared" si="23"/>
        <v>0</v>
      </c>
      <c r="X20" s="739">
        <f t="shared" si="24"/>
        <v>0</v>
      </c>
      <c r="Y20" s="739">
        <f t="shared" si="25"/>
        <v>0</v>
      </c>
      <c r="Z20" s="739">
        <f t="shared" si="26"/>
        <v>0</v>
      </c>
      <c r="AA20" s="739">
        <f t="shared" si="27"/>
        <v>0</v>
      </c>
      <c r="AB20" s="739">
        <f t="shared" si="28"/>
        <v>0</v>
      </c>
      <c r="AC20" s="739">
        <f t="shared" si="29"/>
        <v>0</v>
      </c>
      <c r="AD20" s="739">
        <f t="shared" si="30"/>
        <v>0</v>
      </c>
      <c r="AE20" s="739">
        <f t="shared" si="31"/>
        <v>0</v>
      </c>
      <c r="AF20" s="739">
        <f t="shared" si="32"/>
        <v>0</v>
      </c>
      <c r="AG20" s="739">
        <f t="shared" si="33"/>
        <v>0</v>
      </c>
      <c r="AH20" s="739">
        <f t="shared" si="34"/>
        <v>0</v>
      </c>
      <c r="AI20" s="739">
        <f t="shared" si="35"/>
        <v>0</v>
      </c>
      <c r="AJ20" s="739">
        <f t="shared" si="36"/>
        <v>0</v>
      </c>
      <c r="AK20" s="739">
        <f t="shared" si="37"/>
        <v>0</v>
      </c>
      <c r="AL20" s="739">
        <f t="shared" si="38"/>
        <v>0</v>
      </c>
      <c r="AM20" s="739">
        <f t="shared" si="39"/>
        <v>0</v>
      </c>
      <c r="AN20" s="739">
        <f t="shared" si="40"/>
        <v>0</v>
      </c>
      <c r="AO20" s="739">
        <f t="shared" si="41"/>
        <v>0</v>
      </c>
      <c r="AP20" s="739">
        <f t="shared" si="42"/>
        <v>0</v>
      </c>
      <c r="AQ20" s="739">
        <f t="shared" si="43"/>
        <v>0</v>
      </c>
      <c r="AR20" s="739">
        <f t="shared" si="44"/>
        <v>0</v>
      </c>
      <c r="AS20" s="739">
        <f t="shared" si="45"/>
        <v>0</v>
      </c>
      <c r="AT20" s="189" t="e">
        <f>MDURATION([1]!EFFDATE,E20,F20,C20/100,2)</f>
        <v>#NAME?</v>
      </c>
      <c r="AU20" s="190">
        <f t="shared" si="0"/>
        <v>0</v>
      </c>
      <c r="AV20" s="191">
        <f t="shared" si="1"/>
        <v>0</v>
      </c>
      <c r="AW20" s="192">
        <f t="shared" si="2"/>
        <v>0</v>
      </c>
      <c r="AX20" s="192">
        <f t="shared" si="3"/>
        <v>0</v>
      </c>
      <c r="AY20" s="192">
        <f t="shared" si="4"/>
        <v>0</v>
      </c>
      <c r="AZ20" s="192">
        <f t="shared" si="5"/>
        <v>0</v>
      </c>
      <c r="BA20" s="192">
        <f t="shared" si="6"/>
        <v>0</v>
      </c>
      <c r="BB20" s="192">
        <f t="shared" si="7"/>
        <v>0</v>
      </c>
      <c r="BC20" s="9"/>
      <c r="BD20" s="28"/>
      <c r="BE20" s="28"/>
      <c r="BF20" s="28"/>
      <c r="BG20" s="28"/>
      <c r="BH20" s="9"/>
      <c r="BI20" s="9"/>
      <c r="BJ20" s="9"/>
      <c r="BK20" s="9"/>
      <c r="BL20" s="9"/>
      <c r="BM20" s="9"/>
      <c r="BN20" s="9"/>
      <c r="BO20" s="9"/>
      <c r="BP20" s="9"/>
      <c r="BQ20" s="9"/>
      <c r="BR20" s="9"/>
      <c r="BS20" s="9"/>
      <c r="BT20" s="9"/>
      <c r="BU20" s="9"/>
      <c r="BV20" s="9"/>
      <c r="BW20" s="9"/>
      <c r="BX20" s="9"/>
    </row>
    <row r="21" spans="1:76" ht="12.75">
      <c r="A21" s="183" t="s">
        <v>226</v>
      </c>
      <c r="B21" s="735"/>
      <c r="C21" s="551"/>
      <c r="D21" s="766" t="s">
        <v>13</v>
      </c>
      <c r="E21" s="193">
        <v>39451</v>
      </c>
      <c r="F21" s="194">
        <v>0.075</v>
      </c>
      <c r="G21" s="186">
        <v>1</v>
      </c>
      <c r="H21" s="187">
        <f t="shared" si="8"/>
        <v>0</v>
      </c>
      <c r="I21" s="738">
        <f t="shared" si="9"/>
        <v>0</v>
      </c>
      <c r="J21" s="187">
        <f t="shared" si="10"/>
        <v>0</v>
      </c>
      <c r="K21" s="187">
        <f t="shared" si="11"/>
        <v>0</v>
      </c>
      <c r="L21" s="187">
        <f t="shared" si="12"/>
        <v>0</v>
      </c>
      <c r="M21" s="187">
        <f t="shared" si="13"/>
        <v>0</v>
      </c>
      <c r="N21" s="188">
        <f t="shared" si="14"/>
        <v>1</v>
      </c>
      <c r="O21" s="739">
        <f t="shared" si="15"/>
        <v>0</v>
      </c>
      <c r="P21" s="739">
        <f t="shared" si="16"/>
        <v>0</v>
      </c>
      <c r="Q21" s="739">
        <f t="shared" si="17"/>
        <v>0</v>
      </c>
      <c r="R21" s="739">
        <f t="shared" si="18"/>
        <v>0</v>
      </c>
      <c r="S21" s="739">
        <f t="shared" si="19"/>
        <v>0</v>
      </c>
      <c r="T21" s="739">
        <f t="shared" si="20"/>
        <v>0</v>
      </c>
      <c r="U21" s="739">
        <f t="shared" si="21"/>
        <v>0</v>
      </c>
      <c r="V21" s="739">
        <f t="shared" si="22"/>
        <v>0</v>
      </c>
      <c r="W21" s="739">
        <f t="shared" si="23"/>
        <v>0</v>
      </c>
      <c r="X21" s="739">
        <f t="shared" si="24"/>
        <v>0</v>
      </c>
      <c r="Y21" s="739">
        <f t="shared" si="25"/>
        <v>0</v>
      </c>
      <c r="Z21" s="739">
        <f t="shared" si="26"/>
        <v>0</v>
      </c>
      <c r="AA21" s="739">
        <f t="shared" si="27"/>
        <v>0</v>
      </c>
      <c r="AB21" s="739">
        <f t="shared" si="28"/>
        <v>0</v>
      </c>
      <c r="AC21" s="739">
        <f t="shared" si="29"/>
        <v>0</v>
      </c>
      <c r="AD21" s="739">
        <f t="shared" si="30"/>
        <v>0</v>
      </c>
      <c r="AE21" s="739">
        <f t="shared" si="31"/>
        <v>0</v>
      </c>
      <c r="AF21" s="739">
        <f t="shared" si="32"/>
        <v>0</v>
      </c>
      <c r="AG21" s="739">
        <f t="shared" si="33"/>
        <v>0</v>
      </c>
      <c r="AH21" s="739">
        <f t="shared" si="34"/>
        <v>0</v>
      </c>
      <c r="AI21" s="739">
        <f t="shared" si="35"/>
        <v>0</v>
      </c>
      <c r="AJ21" s="739">
        <f t="shared" si="36"/>
        <v>0</v>
      </c>
      <c r="AK21" s="739">
        <f t="shared" si="37"/>
        <v>0</v>
      </c>
      <c r="AL21" s="739">
        <f t="shared" si="38"/>
        <v>0</v>
      </c>
      <c r="AM21" s="739">
        <f t="shared" si="39"/>
        <v>0</v>
      </c>
      <c r="AN21" s="739">
        <f t="shared" si="40"/>
        <v>0</v>
      </c>
      <c r="AO21" s="739">
        <f t="shared" si="41"/>
        <v>0</v>
      </c>
      <c r="AP21" s="739">
        <f t="shared" si="42"/>
        <v>0</v>
      </c>
      <c r="AQ21" s="739">
        <f t="shared" si="43"/>
        <v>0</v>
      </c>
      <c r="AR21" s="739">
        <f t="shared" si="44"/>
        <v>0</v>
      </c>
      <c r="AS21" s="739">
        <f t="shared" si="45"/>
        <v>0</v>
      </c>
      <c r="AT21" s="189" t="e">
        <f>MDURATION([1]!EFFDATE,E21,F21,C21/100,2)</f>
        <v>#NAME?</v>
      </c>
      <c r="AU21" s="190">
        <f t="shared" si="0"/>
        <v>0</v>
      </c>
      <c r="AV21" s="191">
        <f t="shared" si="1"/>
        <v>0</v>
      </c>
      <c r="AW21" s="192">
        <f t="shared" si="2"/>
        <v>0</v>
      </c>
      <c r="AX21" s="192">
        <f t="shared" si="3"/>
        <v>0</v>
      </c>
      <c r="AY21" s="192">
        <f t="shared" si="4"/>
        <v>0</v>
      </c>
      <c r="AZ21" s="192">
        <f t="shared" si="5"/>
        <v>0</v>
      </c>
      <c r="BA21" s="192">
        <f t="shared" si="6"/>
        <v>0</v>
      </c>
      <c r="BB21" s="192">
        <f t="shared" si="7"/>
        <v>0</v>
      </c>
      <c r="BC21" s="9"/>
      <c r="BD21" s="9"/>
      <c r="BE21" s="9"/>
      <c r="BF21" s="9"/>
      <c r="BG21" s="9"/>
      <c r="BH21" s="9"/>
      <c r="BI21" s="9"/>
      <c r="BJ21" s="9"/>
      <c r="BK21" s="9"/>
      <c r="BL21" s="9"/>
      <c r="BM21" s="9"/>
      <c r="BN21" s="9"/>
      <c r="BO21" s="9"/>
      <c r="BP21" s="9"/>
      <c r="BQ21" s="9"/>
      <c r="BR21" s="9"/>
      <c r="BS21" s="9"/>
      <c r="BT21" s="9"/>
      <c r="BU21" s="9"/>
      <c r="BV21" s="9"/>
      <c r="BW21" s="9"/>
      <c r="BX21" s="9"/>
    </row>
    <row r="22" spans="1:76" ht="12.75">
      <c r="A22" s="183" t="s">
        <v>227</v>
      </c>
      <c r="B22" s="735"/>
      <c r="C22" s="551"/>
      <c r="D22" s="766" t="s">
        <v>13</v>
      </c>
      <c r="E22" s="193">
        <v>36206</v>
      </c>
      <c r="F22" s="194">
        <v>0.115</v>
      </c>
      <c r="G22" s="186">
        <v>2</v>
      </c>
      <c r="H22" s="187">
        <f aca="true" t="shared" si="46" ref="H22:H33">IF(AU22=0,0,ROUND((E22-EFFDATE)/365.25,3))</f>
        <v>0</v>
      </c>
      <c r="I22" s="738">
        <f t="shared" si="9"/>
        <v>0</v>
      </c>
      <c r="J22" s="187">
        <f t="shared" si="10"/>
        <v>0</v>
      </c>
      <c r="K22" s="187">
        <f t="shared" si="11"/>
        <v>0</v>
      </c>
      <c r="L22" s="187">
        <f t="shared" si="12"/>
        <v>0</v>
      </c>
      <c r="M22" s="187">
        <f t="shared" si="13"/>
        <v>0</v>
      </c>
      <c r="N22" s="188">
        <f aca="true" t="shared" si="47" ref="N22:N33">MATCH(H22,IF(F22&gt;=0.03,sss,CpnLT3),1)</f>
        <v>1</v>
      </c>
      <c r="O22" s="739">
        <f aca="true" t="shared" si="48" ref="O22:O33">IF(AU22=0,0,INDEX(MatWts,N22)*B22)</f>
        <v>0</v>
      </c>
      <c r="P22" s="739">
        <f t="shared" si="16"/>
        <v>0</v>
      </c>
      <c r="Q22" s="739">
        <f t="shared" si="17"/>
        <v>0</v>
      </c>
      <c r="R22" s="739">
        <f t="shared" si="18"/>
        <v>0</v>
      </c>
      <c r="S22" s="739">
        <f t="shared" si="19"/>
        <v>0</v>
      </c>
      <c r="T22" s="739">
        <f t="shared" si="20"/>
        <v>0</v>
      </c>
      <c r="U22" s="739">
        <f t="shared" si="21"/>
        <v>0</v>
      </c>
      <c r="V22" s="739">
        <f t="shared" si="22"/>
        <v>0</v>
      </c>
      <c r="W22" s="739">
        <f t="shared" si="23"/>
        <v>0</v>
      </c>
      <c r="X22" s="739">
        <f t="shared" si="24"/>
        <v>0</v>
      </c>
      <c r="Y22" s="739">
        <f t="shared" si="25"/>
        <v>0</v>
      </c>
      <c r="Z22" s="739">
        <f t="shared" si="26"/>
        <v>0</v>
      </c>
      <c r="AA22" s="739">
        <f t="shared" si="27"/>
        <v>0</v>
      </c>
      <c r="AB22" s="739">
        <f t="shared" si="28"/>
        <v>0</v>
      </c>
      <c r="AC22" s="739">
        <f t="shared" si="29"/>
        <v>0</v>
      </c>
      <c r="AD22" s="739">
        <f t="shared" si="30"/>
        <v>0</v>
      </c>
      <c r="AE22" s="739">
        <f t="shared" si="31"/>
        <v>0</v>
      </c>
      <c r="AF22" s="739">
        <f t="shared" si="32"/>
        <v>0</v>
      </c>
      <c r="AG22" s="739">
        <f t="shared" si="33"/>
        <v>0</v>
      </c>
      <c r="AH22" s="739">
        <f t="shared" si="34"/>
        <v>0</v>
      </c>
      <c r="AI22" s="739">
        <f t="shared" si="35"/>
        <v>0</v>
      </c>
      <c r="AJ22" s="739">
        <f t="shared" si="36"/>
        <v>0</v>
      </c>
      <c r="AK22" s="739">
        <f t="shared" si="37"/>
        <v>0</v>
      </c>
      <c r="AL22" s="739">
        <f t="shared" si="38"/>
        <v>0</v>
      </c>
      <c r="AM22" s="739">
        <f t="shared" si="39"/>
        <v>0</v>
      </c>
      <c r="AN22" s="739">
        <f t="shared" si="40"/>
        <v>0</v>
      </c>
      <c r="AO22" s="739">
        <f t="shared" si="41"/>
        <v>0</v>
      </c>
      <c r="AP22" s="739">
        <f t="shared" si="42"/>
        <v>0</v>
      </c>
      <c r="AQ22" s="739">
        <f t="shared" si="43"/>
        <v>0</v>
      </c>
      <c r="AR22" s="739">
        <f t="shared" si="44"/>
        <v>0</v>
      </c>
      <c r="AS22" s="739">
        <f t="shared" si="45"/>
        <v>0</v>
      </c>
      <c r="AT22" s="189" t="e">
        <f>MDURATION([1]!EFFDATE,E22,F22,C22/100,2)</f>
        <v>#NAME?</v>
      </c>
      <c r="AU22" s="190">
        <f t="shared" si="0"/>
        <v>0</v>
      </c>
      <c r="AV22" s="191">
        <f t="shared" si="1"/>
        <v>0</v>
      </c>
      <c r="AW22" s="192">
        <f t="shared" si="2"/>
        <v>0</v>
      </c>
      <c r="AX22" s="192">
        <f t="shared" si="3"/>
        <v>0</v>
      </c>
      <c r="AY22" s="192">
        <f t="shared" si="4"/>
        <v>0</v>
      </c>
      <c r="AZ22" s="192">
        <f t="shared" si="5"/>
        <v>0</v>
      </c>
      <c r="BA22" s="192">
        <f t="shared" si="6"/>
        <v>0</v>
      </c>
      <c r="BB22" s="192">
        <f t="shared" si="7"/>
        <v>0</v>
      </c>
      <c r="BC22" s="9"/>
      <c r="BD22" s="9"/>
      <c r="BE22" s="9"/>
      <c r="BF22" s="9"/>
      <c r="BG22" s="9"/>
      <c r="BH22" s="9"/>
      <c r="BI22" s="9"/>
      <c r="BJ22" s="9"/>
      <c r="BK22" s="9"/>
      <c r="BL22" s="9"/>
      <c r="BM22" s="9"/>
      <c r="BN22" s="9"/>
      <c r="BO22" s="9"/>
      <c r="BP22" s="9"/>
      <c r="BQ22" s="9"/>
      <c r="BR22" s="9"/>
      <c r="BS22" s="9"/>
      <c r="BT22" s="9"/>
      <c r="BU22" s="9"/>
      <c r="BV22" s="9"/>
      <c r="BW22" s="9"/>
      <c r="BX22" s="9"/>
    </row>
    <row r="23" spans="1:76" ht="12.75">
      <c r="A23" s="196" t="s">
        <v>228</v>
      </c>
      <c r="B23" s="735"/>
      <c r="C23" s="551"/>
      <c r="D23" s="766" t="s">
        <v>13</v>
      </c>
      <c r="E23" s="197">
        <v>40451</v>
      </c>
      <c r="F23" s="198">
        <v>0.145</v>
      </c>
      <c r="G23" s="186">
        <v>2</v>
      </c>
      <c r="H23" s="187">
        <f t="shared" si="46"/>
        <v>0</v>
      </c>
      <c r="I23" s="738">
        <f t="shared" si="9"/>
        <v>0</v>
      </c>
      <c r="J23" s="187">
        <f t="shared" si="10"/>
        <v>0</v>
      </c>
      <c r="K23" s="187">
        <f t="shared" si="11"/>
        <v>0</v>
      </c>
      <c r="L23" s="187">
        <f t="shared" si="12"/>
        <v>0</v>
      </c>
      <c r="M23" s="187">
        <f t="shared" si="13"/>
        <v>0</v>
      </c>
      <c r="N23" s="188">
        <f t="shared" si="47"/>
        <v>1</v>
      </c>
      <c r="O23" s="739">
        <f t="shared" si="48"/>
        <v>0</v>
      </c>
      <c r="P23" s="739">
        <f t="shared" si="16"/>
        <v>0</v>
      </c>
      <c r="Q23" s="739">
        <f t="shared" si="17"/>
        <v>0</v>
      </c>
      <c r="R23" s="739">
        <f t="shared" si="18"/>
        <v>0</v>
      </c>
      <c r="S23" s="739">
        <f t="shared" si="19"/>
        <v>0</v>
      </c>
      <c r="T23" s="739">
        <f t="shared" si="20"/>
        <v>0</v>
      </c>
      <c r="U23" s="739">
        <f t="shared" si="21"/>
        <v>0</v>
      </c>
      <c r="V23" s="739">
        <f t="shared" si="22"/>
        <v>0</v>
      </c>
      <c r="W23" s="739">
        <f t="shared" si="23"/>
        <v>0</v>
      </c>
      <c r="X23" s="739">
        <f t="shared" si="24"/>
        <v>0</v>
      </c>
      <c r="Y23" s="739">
        <f t="shared" si="25"/>
        <v>0</v>
      </c>
      <c r="Z23" s="739">
        <f t="shared" si="26"/>
        <v>0</v>
      </c>
      <c r="AA23" s="739">
        <f t="shared" si="27"/>
        <v>0</v>
      </c>
      <c r="AB23" s="739">
        <f t="shared" si="28"/>
        <v>0</v>
      </c>
      <c r="AC23" s="739">
        <f t="shared" si="29"/>
        <v>0</v>
      </c>
      <c r="AD23" s="739">
        <f t="shared" si="30"/>
        <v>0</v>
      </c>
      <c r="AE23" s="739">
        <f t="shared" si="31"/>
        <v>0</v>
      </c>
      <c r="AF23" s="739">
        <f t="shared" si="32"/>
        <v>0</v>
      </c>
      <c r="AG23" s="739">
        <f t="shared" si="33"/>
        <v>0</v>
      </c>
      <c r="AH23" s="739">
        <f t="shared" si="34"/>
        <v>0</v>
      </c>
      <c r="AI23" s="739">
        <f t="shared" si="35"/>
        <v>0</v>
      </c>
      <c r="AJ23" s="739">
        <f t="shared" si="36"/>
        <v>0</v>
      </c>
      <c r="AK23" s="739">
        <f t="shared" si="37"/>
        <v>0</v>
      </c>
      <c r="AL23" s="739">
        <f t="shared" si="38"/>
        <v>0</v>
      </c>
      <c r="AM23" s="739">
        <f t="shared" si="39"/>
        <v>0</v>
      </c>
      <c r="AN23" s="739">
        <f t="shared" si="40"/>
        <v>0</v>
      </c>
      <c r="AO23" s="739">
        <f t="shared" si="41"/>
        <v>0</v>
      </c>
      <c r="AP23" s="739">
        <f t="shared" si="42"/>
        <v>0</v>
      </c>
      <c r="AQ23" s="739">
        <f t="shared" si="43"/>
        <v>0</v>
      </c>
      <c r="AR23" s="739">
        <f t="shared" si="44"/>
        <v>0</v>
      </c>
      <c r="AS23" s="739">
        <f t="shared" si="45"/>
        <v>0</v>
      </c>
      <c r="AT23" s="199" t="e">
        <f>MDURATION([1]!EFFDATE,E23,F23,C23/100,2)</f>
        <v>#NAME?</v>
      </c>
      <c r="AU23" s="190">
        <f t="shared" si="0"/>
        <v>0</v>
      </c>
      <c r="AV23" s="191">
        <f t="shared" si="1"/>
        <v>0</v>
      </c>
      <c r="AW23" s="192">
        <f t="shared" si="2"/>
        <v>0</v>
      </c>
      <c r="AX23" s="192">
        <f t="shared" si="3"/>
        <v>0</v>
      </c>
      <c r="AY23" s="192">
        <f t="shared" si="4"/>
        <v>0</v>
      </c>
      <c r="AZ23" s="192">
        <f t="shared" si="5"/>
        <v>0</v>
      </c>
      <c r="BA23" s="192">
        <f t="shared" si="6"/>
        <v>0</v>
      </c>
      <c r="BB23" s="192">
        <f t="shared" si="7"/>
        <v>0</v>
      </c>
      <c r="BC23" s="9"/>
      <c r="BD23" s="9"/>
      <c r="BE23" s="9"/>
      <c r="BF23" s="9"/>
      <c r="BG23" s="9"/>
      <c r="BH23" s="9"/>
      <c r="BI23" s="9"/>
      <c r="BJ23" s="9"/>
      <c r="BK23" s="9"/>
      <c r="BL23" s="9"/>
      <c r="BM23" s="9"/>
      <c r="BN23" s="9"/>
      <c r="BO23" s="9"/>
      <c r="BP23" s="9"/>
      <c r="BQ23" s="9"/>
      <c r="BR23" s="9"/>
      <c r="BS23" s="9"/>
      <c r="BT23" s="9"/>
      <c r="BU23" s="9"/>
      <c r="BV23" s="9"/>
      <c r="BW23" s="9"/>
      <c r="BX23" s="9"/>
    </row>
    <row r="24" spans="1:76" ht="12.75">
      <c r="A24" s="544">
        <v>157</v>
      </c>
      <c r="B24" s="735"/>
      <c r="C24" s="551"/>
      <c r="D24" s="766" t="s">
        <v>13</v>
      </c>
      <c r="E24" s="545">
        <v>42262</v>
      </c>
      <c r="F24" s="546">
        <v>0.135</v>
      </c>
      <c r="G24" s="547">
        <v>1</v>
      </c>
      <c r="H24" s="187">
        <f t="shared" si="46"/>
        <v>0</v>
      </c>
      <c r="I24" s="738">
        <f t="shared" si="9"/>
        <v>0</v>
      </c>
      <c r="J24" s="187">
        <f t="shared" si="10"/>
        <v>0</v>
      </c>
      <c r="K24" s="187">
        <f t="shared" si="11"/>
        <v>0</v>
      </c>
      <c r="L24" s="187">
        <f t="shared" si="12"/>
        <v>0</v>
      </c>
      <c r="M24" s="187">
        <f t="shared" si="13"/>
        <v>0</v>
      </c>
      <c r="N24" s="188">
        <f t="shared" si="47"/>
        <v>1</v>
      </c>
      <c r="O24" s="739">
        <f t="shared" si="48"/>
        <v>0</v>
      </c>
      <c r="P24" s="739">
        <f t="shared" si="16"/>
        <v>0</v>
      </c>
      <c r="Q24" s="739">
        <f t="shared" si="17"/>
        <v>0</v>
      </c>
      <c r="R24" s="739">
        <f t="shared" si="18"/>
        <v>0</v>
      </c>
      <c r="S24" s="739">
        <f t="shared" si="19"/>
        <v>0</v>
      </c>
      <c r="T24" s="739">
        <f t="shared" si="20"/>
        <v>0</v>
      </c>
      <c r="U24" s="739">
        <f t="shared" si="21"/>
        <v>0</v>
      </c>
      <c r="V24" s="739">
        <f t="shared" si="22"/>
        <v>0</v>
      </c>
      <c r="W24" s="739">
        <f t="shared" si="23"/>
        <v>0</v>
      </c>
      <c r="X24" s="739">
        <f t="shared" si="24"/>
        <v>0</v>
      </c>
      <c r="Y24" s="739">
        <f t="shared" si="25"/>
        <v>0</v>
      </c>
      <c r="Z24" s="739">
        <f t="shared" si="26"/>
        <v>0</v>
      </c>
      <c r="AA24" s="739">
        <f t="shared" si="27"/>
        <v>0</v>
      </c>
      <c r="AB24" s="739">
        <f t="shared" si="28"/>
        <v>0</v>
      </c>
      <c r="AC24" s="739">
        <f t="shared" si="29"/>
        <v>0</v>
      </c>
      <c r="AD24" s="739">
        <f t="shared" si="30"/>
        <v>0</v>
      </c>
      <c r="AE24" s="739">
        <f t="shared" si="31"/>
        <v>0</v>
      </c>
      <c r="AF24" s="739">
        <f t="shared" si="32"/>
        <v>0</v>
      </c>
      <c r="AG24" s="739">
        <f t="shared" si="33"/>
        <v>0</v>
      </c>
      <c r="AH24" s="739">
        <f t="shared" si="34"/>
        <v>0</v>
      </c>
      <c r="AI24" s="739">
        <f t="shared" si="35"/>
        <v>0</v>
      </c>
      <c r="AJ24" s="739">
        <f t="shared" si="36"/>
        <v>0</v>
      </c>
      <c r="AK24" s="739">
        <f t="shared" si="37"/>
        <v>0</v>
      </c>
      <c r="AL24" s="739">
        <f t="shared" si="38"/>
        <v>0</v>
      </c>
      <c r="AM24" s="739">
        <f t="shared" si="39"/>
        <v>0</v>
      </c>
      <c r="AN24" s="739">
        <f t="shared" si="40"/>
        <v>0</v>
      </c>
      <c r="AO24" s="739">
        <f t="shared" si="41"/>
        <v>0</v>
      </c>
      <c r="AP24" s="739">
        <f t="shared" si="42"/>
        <v>0</v>
      </c>
      <c r="AQ24" s="739">
        <f t="shared" si="43"/>
        <v>0</v>
      </c>
      <c r="AR24" s="739">
        <f t="shared" si="44"/>
        <v>0</v>
      </c>
      <c r="AS24" s="739">
        <f t="shared" si="45"/>
        <v>0</v>
      </c>
      <c r="AT24" s="199" t="e">
        <f>MDURATION([1]!EFFDATE,E24,F24,C24/100,2)</f>
        <v>#NAME?</v>
      </c>
      <c r="AU24" s="190">
        <f t="shared" si="0"/>
        <v>0</v>
      </c>
      <c r="AV24" s="191">
        <f t="shared" si="1"/>
        <v>0</v>
      </c>
      <c r="AW24" s="192">
        <f t="shared" si="2"/>
        <v>0</v>
      </c>
      <c r="AX24" s="192">
        <f t="shared" si="3"/>
        <v>0</v>
      </c>
      <c r="AY24" s="192">
        <f t="shared" si="4"/>
        <v>0</v>
      </c>
      <c r="AZ24" s="192">
        <f t="shared" si="5"/>
        <v>0</v>
      </c>
      <c r="BA24" s="192">
        <f t="shared" si="6"/>
        <v>0</v>
      </c>
      <c r="BB24" s="192">
        <f t="shared" si="7"/>
        <v>0</v>
      </c>
      <c r="BC24" s="9"/>
      <c r="BD24" s="9"/>
      <c r="BE24" s="9"/>
      <c r="BF24" s="9"/>
      <c r="BG24" s="9"/>
      <c r="BH24" s="9"/>
      <c r="BI24" s="9"/>
      <c r="BJ24" s="9"/>
      <c r="BK24" s="9"/>
      <c r="BL24" s="9"/>
      <c r="BM24" s="9"/>
      <c r="BN24" s="9"/>
      <c r="BO24" s="9"/>
      <c r="BP24" s="9"/>
      <c r="BQ24" s="9"/>
      <c r="BR24" s="9"/>
      <c r="BS24" s="9"/>
      <c r="BT24" s="9"/>
      <c r="BU24" s="9"/>
      <c r="BV24" s="9"/>
      <c r="BW24" s="9"/>
      <c r="BX24" s="9"/>
    </row>
    <row r="25" spans="1:76" ht="12.75">
      <c r="A25" s="206" t="s">
        <v>229</v>
      </c>
      <c r="B25" s="742"/>
      <c r="C25" s="205"/>
      <c r="D25" s="184" t="str">
        <f>IF(A25="Spare","Spare",IF(EFFDATE&gt;E25,"Matured",PRICE([1]!EFFDATE,E25,F25,C25/100,100,2,3)))</f>
        <v>Spare</v>
      </c>
      <c r="E25" s="743">
        <v>0</v>
      </c>
      <c r="F25" s="209">
        <v>0</v>
      </c>
      <c r="G25" s="210"/>
      <c r="H25" s="187">
        <f t="shared" si="46"/>
        <v>0</v>
      </c>
      <c r="I25" s="738">
        <f t="shared" si="9"/>
        <v>0</v>
      </c>
      <c r="J25" s="187">
        <f t="shared" si="10"/>
        <v>0</v>
      </c>
      <c r="K25" s="187">
        <f t="shared" si="11"/>
        <v>0</v>
      </c>
      <c r="L25" s="187">
        <f t="shared" si="12"/>
        <v>0</v>
      </c>
      <c r="M25" s="187">
        <f t="shared" si="13"/>
        <v>0</v>
      </c>
      <c r="N25" s="188" t="e">
        <f t="shared" si="47"/>
        <v>#REF!</v>
      </c>
      <c r="O25" s="739">
        <f t="shared" si="48"/>
        <v>0</v>
      </c>
      <c r="P25" s="739" t="e">
        <f t="shared" si="16"/>
        <v>#REF!</v>
      </c>
      <c r="Q25" s="739" t="e">
        <f t="shared" si="17"/>
        <v>#REF!</v>
      </c>
      <c r="R25" s="739" t="e">
        <f t="shared" si="18"/>
        <v>#REF!</v>
      </c>
      <c r="S25" s="739" t="e">
        <f t="shared" si="19"/>
        <v>#REF!</v>
      </c>
      <c r="T25" s="739" t="e">
        <f t="shared" si="20"/>
        <v>#REF!</v>
      </c>
      <c r="U25" s="739" t="e">
        <f t="shared" si="21"/>
        <v>#REF!</v>
      </c>
      <c r="V25" s="739" t="e">
        <f t="shared" si="22"/>
        <v>#REF!</v>
      </c>
      <c r="W25" s="739" t="e">
        <f t="shared" si="23"/>
        <v>#REF!</v>
      </c>
      <c r="X25" s="739" t="e">
        <f t="shared" si="24"/>
        <v>#REF!</v>
      </c>
      <c r="Y25" s="739" t="e">
        <f t="shared" si="25"/>
        <v>#REF!</v>
      </c>
      <c r="Z25" s="739" t="e">
        <f t="shared" si="26"/>
        <v>#REF!</v>
      </c>
      <c r="AA25" s="739" t="e">
        <f t="shared" si="27"/>
        <v>#REF!</v>
      </c>
      <c r="AB25" s="739" t="e">
        <f t="shared" si="28"/>
        <v>#REF!</v>
      </c>
      <c r="AC25" s="739" t="e">
        <f t="shared" si="29"/>
        <v>#REF!</v>
      </c>
      <c r="AD25" s="739" t="e">
        <f t="shared" si="30"/>
        <v>#REF!</v>
      </c>
      <c r="AE25" s="739" t="e">
        <f t="shared" si="31"/>
        <v>#REF!</v>
      </c>
      <c r="AF25" s="739" t="e">
        <f t="shared" si="32"/>
        <v>#REF!</v>
      </c>
      <c r="AG25" s="739" t="e">
        <f t="shared" si="33"/>
        <v>#REF!</v>
      </c>
      <c r="AH25" s="739" t="e">
        <f t="shared" si="34"/>
        <v>#REF!</v>
      </c>
      <c r="AI25" s="739" t="e">
        <f t="shared" si="35"/>
        <v>#REF!</v>
      </c>
      <c r="AJ25" s="739" t="e">
        <f t="shared" si="36"/>
        <v>#REF!</v>
      </c>
      <c r="AK25" s="739" t="e">
        <f t="shared" si="37"/>
        <v>#REF!</v>
      </c>
      <c r="AL25" s="739" t="e">
        <f t="shared" si="38"/>
        <v>#REF!</v>
      </c>
      <c r="AM25" s="739" t="e">
        <f t="shared" si="39"/>
        <v>#REF!</v>
      </c>
      <c r="AN25" s="739" t="e">
        <f t="shared" si="40"/>
        <v>#REF!</v>
      </c>
      <c r="AO25" s="739" t="e">
        <f t="shared" si="41"/>
        <v>#REF!</v>
      </c>
      <c r="AP25" s="739" t="e">
        <f t="shared" si="42"/>
        <v>#REF!</v>
      </c>
      <c r="AQ25" s="739" t="e">
        <f t="shared" si="43"/>
        <v>#REF!</v>
      </c>
      <c r="AR25" s="739" t="e">
        <f t="shared" si="44"/>
        <v>#REF!</v>
      </c>
      <c r="AS25" s="739" t="e">
        <f t="shared" si="45"/>
        <v>#REF!</v>
      </c>
      <c r="AT25" s="199" t="e">
        <f>MDURATION([1]!EFFDATE,E25,F25,C25/100,2)</f>
        <v>#NAME?</v>
      </c>
      <c r="AU25" s="190">
        <f t="shared" si="0"/>
        <v>0</v>
      </c>
      <c r="AV25" s="191">
        <f t="shared" si="1"/>
        <v>0</v>
      </c>
      <c r="AW25" s="192">
        <f t="shared" si="2"/>
        <v>0</v>
      </c>
      <c r="AX25" s="192">
        <f t="shared" si="3"/>
        <v>0</v>
      </c>
      <c r="AY25" s="192">
        <f t="shared" si="4"/>
        <v>0</v>
      </c>
      <c r="AZ25" s="192">
        <f t="shared" si="5"/>
        <v>0</v>
      </c>
      <c r="BA25" s="192">
        <f t="shared" si="6"/>
        <v>0</v>
      </c>
      <c r="BB25" s="192">
        <f t="shared" si="7"/>
        <v>0</v>
      </c>
      <c r="BC25" s="9"/>
      <c r="BD25" s="9"/>
      <c r="BE25" s="9"/>
      <c r="BF25" s="9"/>
      <c r="BG25" s="9"/>
      <c r="BH25" s="9"/>
      <c r="BI25" s="9"/>
      <c r="BJ25" s="9"/>
      <c r="BK25" s="9"/>
      <c r="BL25" s="9"/>
      <c r="BM25" s="9"/>
      <c r="BN25" s="9"/>
      <c r="BO25" s="9"/>
      <c r="BP25" s="9"/>
      <c r="BQ25" s="9"/>
      <c r="BR25" s="9"/>
      <c r="BS25" s="9"/>
      <c r="BT25" s="9"/>
      <c r="BU25" s="9"/>
      <c r="BV25" s="9"/>
      <c r="BW25" s="9"/>
      <c r="BX25" s="9"/>
    </row>
    <row r="26" spans="1:76" ht="12.75">
      <c r="A26" s="206" t="s">
        <v>229</v>
      </c>
      <c r="B26" s="742"/>
      <c r="C26" s="205"/>
      <c r="D26" s="184" t="str">
        <f>IF(A26="Spare","Spare",IF(EFFDATE&gt;E26,"Matured",PRICE([1]!EFFDATE,E26,F26,C26/100,100,2,3)))</f>
        <v>Spare</v>
      </c>
      <c r="E26" s="743">
        <v>0</v>
      </c>
      <c r="F26" s="209">
        <v>0</v>
      </c>
      <c r="G26" s="210"/>
      <c r="H26" s="187">
        <f t="shared" si="46"/>
        <v>0</v>
      </c>
      <c r="I26" s="738">
        <f t="shared" si="9"/>
        <v>0</v>
      </c>
      <c r="J26" s="187">
        <f t="shared" si="10"/>
        <v>0</v>
      </c>
      <c r="K26" s="187">
        <f t="shared" si="11"/>
        <v>0</v>
      </c>
      <c r="L26" s="187">
        <f t="shared" si="12"/>
        <v>0</v>
      </c>
      <c r="M26" s="187">
        <f t="shared" si="13"/>
        <v>0</v>
      </c>
      <c r="N26" s="188" t="e">
        <f t="shared" si="47"/>
        <v>#REF!</v>
      </c>
      <c r="O26" s="739">
        <f t="shared" si="48"/>
        <v>0</v>
      </c>
      <c r="P26" s="739" t="e">
        <f t="shared" si="16"/>
        <v>#REF!</v>
      </c>
      <c r="Q26" s="739" t="e">
        <f t="shared" si="17"/>
        <v>#REF!</v>
      </c>
      <c r="R26" s="739" t="e">
        <f t="shared" si="18"/>
        <v>#REF!</v>
      </c>
      <c r="S26" s="739" t="e">
        <f t="shared" si="19"/>
        <v>#REF!</v>
      </c>
      <c r="T26" s="739" t="e">
        <f t="shared" si="20"/>
        <v>#REF!</v>
      </c>
      <c r="U26" s="739" t="e">
        <f t="shared" si="21"/>
        <v>#REF!</v>
      </c>
      <c r="V26" s="739" t="e">
        <f t="shared" si="22"/>
        <v>#REF!</v>
      </c>
      <c r="W26" s="739" t="e">
        <f t="shared" si="23"/>
        <v>#REF!</v>
      </c>
      <c r="X26" s="739" t="e">
        <f t="shared" si="24"/>
        <v>#REF!</v>
      </c>
      <c r="Y26" s="739" t="e">
        <f t="shared" si="25"/>
        <v>#REF!</v>
      </c>
      <c r="Z26" s="739" t="e">
        <f t="shared" si="26"/>
        <v>#REF!</v>
      </c>
      <c r="AA26" s="739" t="e">
        <f t="shared" si="27"/>
        <v>#REF!</v>
      </c>
      <c r="AB26" s="739" t="e">
        <f t="shared" si="28"/>
        <v>#REF!</v>
      </c>
      <c r="AC26" s="739" t="e">
        <f t="shared" si="29"/>
        <v>#REF!</v>
      </c>
      <c r="AD26" s="739" t="e">
        <f t="shared" si="30"/>
        <v>#REF!</v>
      </c>
      <c r="AE26" s="739" t="e">
        <f t="shared" si="31"/>
        <v>#REF!</v>
      </c>
      <c r="AF26" s="739" t="e">
        <f t="shared" si="32"/>
        <v>#REF!</v>
      </c>
      <c r="AG26" s="739" t="e">
        <f t="shared" si="33"/>
        <v>#REF!</v>
      </c>
      <c r="AH26" s="739" t="e">
        <f t="shared" si="34"/>
        <v>#REF!</v>
      </c>
      <c r="AI26" s="739" t="e">
        <f t="shared" si="35"/>
        <v>#REF!</v>
      </c>
      <c r="AJ26" s="739" t="e">
        <f t="shared" si="36"/>
        <v>#REF!</v>
      </c>
      <c r="AK26" s="739" t="e">
        <f t="shared" si="37"/>
        <v>#REF!</v>
      </c>
      <c r="AL26" s="739" t="e">
        <f t="shared" si="38"/>
        <v>#REF!</v>
      </c>
      <c r="AM26" s="739" t="e">
        <f t="shared" si="39"/>
        <v>#REF!</v>
      </c>
      <c r="AN26" s="739" t="e">
        <f t="shared" si="40"/>
        <v>#REF!</v>
      </c>
      <c r="AO26" s="739" t="e">
        <f t="shared" si="41"/>
        <v>#REF!</v>
      </c>
      <c r="AP26" s="739" t="e">
        <f t="shared" si="42"/>
        <v>#REF!</v>
      </c>
      <c r="AQ26" s="739" t="e">
        <f t="shared" si="43"/>
        <v>#REF!</v>
      </c>
      <c r="AR26" s="739" t="e">
        <f t="shared" si="44"/>
        <v>#REF!</v>
      </c>
      <c r="AS26" s="739" t="e">
        <f t="shared" si="45"/>
        <v>#REF!</v>
      </c>
      <c r="AT26" s="199" t="e">
        <f>MDURATION([1]!EFFDATE,E26,F26,C26/100,2)</f>
        <v>#NAME?</v>
      </c>
      <c r="AU26" s="190">
        <f t="shared" si="0"/>
        <v>0</v>
      </c>
      <c r="AV26" s="191">
        <f t="shared" si="1"/>
        <v>0</v>
      </c>
      <c r="AW26" s="192">
        <f t="shared" si="2"/>
        <v>0</v>
      </c>
      <c r="AX26" s="192">
        <f t="shared" si="3"/>
        <v>0</v>
      </c>
      <c r="AY26" s="192">
        <f t="shared" si="4"/>
        <v>0</v>
      </c>
      <c r="AZ26" s="192">
        <f t="shared" si="5"/>
        <v>0</v>
      </c>
      <c r="BA26" s="192">
        <f t="shared" si="6"/>
        <v>0</v>
      </c>
      <c r="BB26" s="192">
        <f t="shared" si="7"/>
        <v>0</v>
      </c>
      <c r="BC26" s="9"/>
      <c r="BD26" s="9"/>
      <c r="BE26" s="9"/>
      <c r="BF26" s="9"/>
      <c r="BG26" s="9"/>
      <c r="BH26" s="9"/>
      <c r="BI26" s="9"/>
      <c r="BJ26" s="9"/>
      <c r="BK26" s="9"/>
      <c r="BL26" s="9"/>
      <c r="BM26" s="9"/>
      <c r="BN26" s="9"/>
      <c r="BO26" s="9"/>
      <c r="BP26" s="9"/>
      <c r="BQ26" s="9"/>
      <c r="BR26" s="9"/>
      <c r="BS26" s="9"/>
      <c r="BT26" s="9"/>
      <c r="BU26" s="9"/>
      <c r="BV26" s="9"/>
      <c r="BW26" s="9"/>
      <c r="BX26" s="9"/>
    </row>
    <row r="27" spans="1:76" ht="12.75">
      <c r="A27" s="206" t="s">
        <v>229</v>
      </c>
      <c r="B27" s="742"/>
      <c r="C27" s="205"/>
      <c r="D27" s="184" t="str">
        <f>IF(A27="Spare","Spare",IF(EFFDATE&gt;E27,"Matured",PRICE([1]!EFFDATE,E27,F27,C27/100,100,2,3)))</f>
        <v>Spare</v>
      </c>
      <c r="E27" s="743">
        <v>0</v>
      </c>
      <c r="F27" s="209">
        <v>0</v>
      </c>
      <c r="G27" s="210"/>
      <c r="H27" s="187">
        <f t="shared" si="46"/>
        <v>0</v>
      </c>
      <c r="I27" s="738">
        <f t="shared" si="9"/>
        <v>0</v>
      </c>
      <c r="J27" s="187">
        <f t="shared" si="10"/>
        <v>0</v>
      </c>
      <c r="K27" s="187">
        <f t="shared" si="11"/>
        <v>0</v>
      </c>
      <c r="L27" s="187">
        <f t="shared" si="12"/>
        <v>0</v>
      </c>
      <c r="M27" s="187">
        <f t="shared" si="13"/>
        <v>0</v>
      </c>
      <c r="N27" s="188" t="e">
        <f t="shared" si="47"/>
        <v>#REF!</v>
      </c>
      <c r="O27" s="739">
        <f t="shared" si="48"/>
        <v>0</v>
      </c>
      <c r="P27" s="739" t="e">
        <f t="shared" si="16"/>
        <v>#REF!</v>
      </c>
      <c r="Q27" s="739" t="e">
        <f t="shared" si="17"/>
        <v>#REF!</v>
      </c>
      <c r="R27" s="739" t="e">
        <f t="shared" si="18"/>
        <v>#REF!</v>
      </c>
      <c r="S27" s="739" t="e">
        <f t="shared" si="19"/>
        <v>#REF!</v>
      </c>
      <c r="T27" s="739" t="e">
        <f t="shared" si="20"/>
        <v>#REF!</v>
      </c>
      <c r="U27" s="739" t="e">
        <f t="shared" si="21"/>
        <v>#REF!</v>
      </c>
      <c r="V27" s="739" t="e">
        <f t="shared" si="22"/>
        <v>#REF!</v>
      </c>
      <c r="W27" s="739" t="e">
        <f t="shared" si="23"/>
        <v>#REF!</v>
      </c>
      <c r="X27" s="739" t="e">
        <f t="shared" si="24"/>
        <v>#REF!</v>
      </c>
      <c r="Y27" s="739" t="e">
        <f t="shared" si="25"/>
        <v>#REF!</v>
      </c>
      <c r="Z27" s="739" t="e">
        <f t="shared" si="26"/>
        <v>#REF!</v>
      </c>
      <c r="AA27" s="739" t="e">
        <f t="shared" si="27"/>
        <v>#REF!</v>
      </c>
      <c r="AB27" s="739" t="e">
        <f t="shared" si="28"/>
        <v>#REF!</v>
      </c>
      <c r="AC27" s="739" t="e">
        <f t="shared" si="29"/>
        <v>#REF!</v>
      </c>
      <c r="AD27" s="739" t="e">
        <f t="shared" si="30"/>
        <v>#REF!</v>
      </c>
      <c r="AE27" s="739" t="e">
        <f t="shared" si="31"/>
        <v>#REF!</v>
      </c>
      <c r="AF27" s="739" t="e">
        <f t="shared" si="32"/>
        <v>#REF!</v>
      </c>
      <c r="AG27" s="739" t="e">
        <f t="shared" si="33"/>
        <v>#REF!</v>
      </c>
      <c r="AH27" s="739" t="e">
        <f t="shared" si="34"/>
        <v>#REF!</v>
      </c>
      <c r="AI27" s="739" t="e">
        <f t="shared" si="35"/>
        <v>#REF!</v>
      </c>
      <c r="AJ27" s="739" t="e">
        <f t="shared" si="36"/>
        <v>#REF!</v>
      </c>
      <c r="AK27" s="739" t="e">
        <f t="shared" si="37"/>
        <v>#REF!</v>
      </c>
      <c r="AL27" s="739" t="e">
        <f t="shared" si="38"/>
        <v>#REF!</v>
      </c>
      <c r="AM27" s="739" t="e">
        <f t="shared" si="39"/>
        <v>#REF!</v>
      </c>
      <c r="AN27" s="739" t="e">
        <f t="shared" si="40"/>
        <v>#REF!</v>
      </c>
      <c r="AO27" s="739" t="e">
        <f t="shared" si="41"/>
        <v>#REF!</v>
      </c>
      <c r="AP27" s="739" t="e">
        <f t="shared" si="42"/>
        <v>#REF!</v>
      </c>
      <c r="AQ27" s="739" t="e">
        <f t="shared" si="43"/>
        <v>#REF!</v>
      </c>
      <c r="AR27" s="739" t="e">
        <f t="shared" si="44"/>
        <v>#REF!</v>
      </c>
      <c r="AS27" s="739" t="e">
        <f t="shared" si="45"/>
        <v>#REF!</v>
      </c>
      <c r="AT27" s="199" t="e">
        <f>MDURATION([1]!EFFDATE,E27,F27,C27/100,2)</f>
        <v>#NAME?</v>
      </c>
      <c r="AU27" s="190">
        <f t="shared" si="0"/>
        <v>0</v>
      </c>
      <c r="AV27" s="191">
        <f t="shared" si="1"/>
        <v>0</v>
      </c>
      <c r="AW27" s="192">
        <f t="shared" si="2"/>
        <v>0</v>
      </c>
      <c r="AX27" s="192">
        <f t="shared" si="3"/>
        <v>0</v>
      </c>
      <c r="AY27" s="192">
        <f t="shared" si="4"/>
        <v>0</v>
      </c>
      <c r="AZ27" s="192">
        <f t="shared" si="5"/>
        <v>0</v>
      </c>
      <c r="BA27" s="192">
        <f t="shared" si="6"/>
        <v>0</v>
      </c>
      <c r="BB27" s="192">
        <f t="shared" si="7"/>
        <v>0</v>
      </c>
      <c r="BC27" s="9"/>
      <c r="BD27" s="9"/>
      <c r="BE27" s="9"/>
      <c r="BF27" s="9"/>
      <c r="BG27" s="9"/>
      <c r="BH27" s="9"/>
      <c r="BI27" s="9"/>
      <c r="BJ27" s="9"/>
      <c r="BK27" s="9"/>
      <c r="BL27" s="9"/>
      <c r="BM27" s="9"/>
      <c r="BN27" s="9"/>
      <c r="BO27" s="9"/>
      <c r="BP27" s="9"/>
      <c r="BQ27" s="9"/>
      <c r="BR27" s="9"/>
      <c r="BS27" s="9"/>
      <c r="BT27" s="9"/>
      <c r="BU27" s="9"/>
      <c r="BV27" s="9"/>
      <c r="BW27" s="9"/>
      <c r="BX27" s="9"/>
    </row>
    <row r="28" spans="1:76" ht="12.75">
      <c r="A28" s="206" t="s">
        <v>229</v>
      </c>
      <c r="B28" s="742"/>
      <c r="C28" s="205"/>
      <c r="D28" s="184" t="str">
        <f>IF(A28="Spare","Spare",IF(EFFDATE&gt;E28,"Matured",PRICE([1]!EFFDATE,E28,F28,C28/100,100,2,3)))</f>
        <v>Spare</v>
      </c>
      <c r="E28" s="743">
        <v>0</v>
      </c>
      <c r="F28" s="209">
        <v>0</v>
      </c>
      <c r="G28" s="210"/>
      <c r="H28" s="187">
        <f t="shared" si="46"/>
        <v>0</v>
      </c>
      <c r="I28" s="738">
        <f t="shared" si="9"/>
        <v>0</v>
      </c>
      <c r="J28" s="187">
        <f t="shared" si="10"/>
        <v>0</v>
      </c>
      <c r="K28" s="187">
        <f t="shared" si="11"/>
        <v>0</v>
      </c>
      <c r="L28" s="187">
        <f t="shared" si="12"/>
        <v>0</v>
      </c>
      <c r="M28" s="187">
        <f t="shared" si="13"/>
        <v>0</v>
      </c>
      <c r="N28" s="188" t="e">
        <f t="shared" si="47"/>
        <v>#REF!</v>
      </c>
      <c r="O28" s="739">
        <f t="shared" si="48"/>
        <v>0</v>
      </c>
      <c r="P28" s="739" t="e">
        <f t="shared" si="16"/>
        <v>#REF!</v>
      </c>
      <c r="Q28" s="739" t="e">
        <f t="shared" si="17"/>
        <v>#REF!</v>
      </c>
      <c r="R28" s="739" t="e">
        <f t="shared" si="18"/>
        <v>#REF!</v>
      </c>
      <c r="S28" s="739" t="e">
        <f t="shared" si="19"/>
        <v>#REF!</v>
      </c>
      <c r="T28" s="739" t="e">
        <f t="shared" si="20"/>
        <v>#REF!</v>
      </c>
      <c r="U28" s="739" t="e">
        <f t="shared" si="21"/>
        <v>#REF!</v>
      </c>
      <c r="V28" s="739" t="e">
        <f t="shared" si="22"/>
        <v>#REF!</v>
      </c>
      <c r="W28" s="739" t="e">
        <f t="shared" si="23"/>
        <v>#REF!</v>
      </c>
      <c r="X28" s="739" t="e">
        <f t="shared" si="24"/>
        <v>#REF!</v>
      </c>
      <c r="Y28" s="739" t="e">
        <f t="shared" si="25"/>
        <v>#REF!</v>
      </c>
      <c r="Z28" s="739" t="e">
        <f t="shared" si="26"/>
        <v>#REF!</v>
      </c>
      <c r="AA28" s="739" t="e">
        <f t="shared" si="27"/>
        <v>#REF!</v>
      </c>
      <c r="AB28" s="739" t="e">
        <f t="shared" si="28"/>
        <v>#REF!</v>
      </c>
      <c r="AC28" s="739" t="e">
        <f t="shared" si="29"/>
        <v>#REF!</v>
      </c>
      <c r="AD28" s="739" t="e">
        <f t="shared" si="30"/>
        <v>#REF!</v>
      </c>
      <c r="AE28" s="739" t="e">
        <f t="shared" si="31"/>
        <v>#REF!</v>
      </c>
      <c r="AF28" s="739" t="e">
        <f t="shared" si="32"/>
        <v>#REF!</v>
      </c>
      <c r="AG28" s="739" t="e">
        <f t="shared" si="33"/>
        <v>#REF!</v>
      </c>
      <c r="AH28" s="739" t="e">
        <f t="shared" si="34"/>
        <v>#REF!</v>
      </c>
      <c r="AI28" s="739" t="e">
        <f t="shared" si="35"/>
        <v>#REF!</v>
      </c>
      <c r="AJ28" s="739" t="e">
        <f t="shared" si="36"/>
        <v>#REF!</v>
      </c>
      <c r="AK28" s="739" t="e">
        <f t="shared" si="37"/>
        <v>#REF!</v>
      </c>
      <c r="AL28" s="739" t="e">
        <f t="shared" si="38"/>
        <v>#REF!</v>
      </c>
      <c r="AM28" s="739" t="e">
        <f t="shared" si="39"/>
        <v>#REF!</v>
      </c>
      <c r="AN28" s="739" t="e">
        <f t="shared" si="40"/>
        <v>#REF!</v>
      </c>
      <c r="AO28" s="739" t="e">
        <f t="shared" si="41"/>
        <v>#REF!</v>
      </c>
      <c r="AP28" s="739" t="e">
        <f t="shared" si="42"/>
        <v>#REF!</v>
      </c>
      <c r="AQ28" s="739" t="e">
        <f t="shared" si="43"/>
        <v>#REF!</v>
      </c>
      <c r="AR28" s="739" t="e">
        <f t="shared" si="44"/>
        <v>#REF!</v>
      </c>
      <c r="AS28" s="739" t="e">
        <f t="shared" si="45"/>
        <v>#REF!</v>
      </c>
      <c r="AT28" s="199" t="e">
        <f>MDURATION([1]!EFFDATE,E28,F28,C28/100,2)</f>
        <v>#NAME?</v>
      </c>
      <c r="AU28" s="190">
        <f t="shared" si="0"/>
        <v>0</v>
      </c>
      <c r="AV28" s="191">
        <f t="shared" si="1"/>
        <v>0</v>
      </c>
      <c r="AW28" s="192">
        <f t="shared" si="2"/>
        <v>0</v>
      </c>
      <c r="AX28" s="192">
        <f t="shared" si="3"/>
        <v>0</v>
      </c>
      <c r="AY28" s="192">
        <f t="shared" si="4"/>
        <v>0</v>
      </c>
      <c r="AZ28" s="192">
        <f t="shared" si="5"/>
        <v>0</v>
      </c>
      <c r="BA28" s="192">
        <f t="shared" si="6"/>
        <v>0</v>
      </c>
      <c r="BB28" s="192">
        <f t="shared" si="7"/>
        <v>0</v>
      </c>
      <c r="BC28" s="9"/>
      <c r="BD28" s="9"/>
      <c r="BE28" s="9"/>
      <c r="BF28" s="9"/>
      <c r="BG28" s="9"/>
      <c r="BH28" s="9"/>
      <c r="BI28" s="9"/>
      <c r="BJ28" s="9"/>
      <c r="BK28" s="9"/>
      <c r="BL28" s="9"/>
      <c r="BM28" s="9"/>
      <c r="BN28" s="9"/>
      <c r="BO28" s="9"/>
      <c r="BP28" s="9"/>
      <c r="BQ28" s="9"/>
      <c r="BR28" s="9"/>
      <c r="BS28" s="9"/>
      <c r="BT28" s="9"/>
      <c r="BU28" s="9"/>
      <c r="BV28" s="9"/>
      <c r="BW28" s="9"/>
      <c r="BX28" s="9"/>
    </row>
    <row r="29" spans="1:76" ht="12.75">
      <c r="A29" s="206" t="s">
        <v>229</v>
      </c>
      <c r="B29" s="742"/>
      <c r="C29" s="205"/>
      <c r="D29" s="184" t="str">
        <f>IF(A29="Spare","Spare",IF(EFFDATE&gt;E29,"Matured",PRICE([1]!EFFDATE,E29,F29,C29/100,100,2,3)))</f>
        <v>Spare</v>
      </c>
      <c r="E29" s="743">
        <v>0</v>
      </c>
      <c r="F29" s="209">
        <v>0</v>
      </c>
      <c r="G29" s="210"/>
      <c r="H29" s="187">
        <f t="shared" si="46"/>
        <v>0</v>
      </c>
      <c r="I29" s="738">
        <f t="shared" si="9"/>
        <v>0</v>
      </c>
      <c r="J29" s="187">
        <f t="shared" si="10"/>
        <v>0</v>
      </c>
      <c r="K29" s="187">
        <f t="shared" si="11"/>
        <v>0</v>
      </c>
      <c r="L29" s="187">
        <f t="shared" si="12"/>
        <v>0</v>
      </c>
      <c r="M29" s="187">
        <f t="shared" si="13"/>
        <v>0</v>
      </c>
      <c r="N29" s="188" t="e">
        <f t="shared" si="47"/>
        <v>#REF!</v>
      </c>
      <c r="O29" s="739">
        <f t="shared" si="48"/>
        <v>0</v>
      </c>
      <c r="P29" s="739" t="e">
        <f t="shared" si="16"/>
        <v>#REF!</v>
      </c>
      <c r="Q29" s="739" t="e">
        <f t="shared" si="17"/>
        <v>#REF!</v>
      </c>
      <c r="R29" s="739" t="e">
        <f t="shared" si="18"/>
        <v>#REF!</v>
      </c>
      <c r="S29" s="739" t="e">
        <f t="shared" si="19"/>
        <v>#REF!</v>
      </c>
      <c r="T29" s="739" t="e">
        <f t="shared" si="20"/>
        <v>#REF!</v>
      </c>
      <c r="U29" s="739" t="e">
        <f t="shared" si="21"/>
        <v>#REF!</v>
      </c>
      <c r="V29" s="739" t="e">
        <f t="shared" si="22"/>
        <v>#REF!</v>
      </c>
      <c r="W29" s="739" t="e">
        <f t="shared" si="23"/>
        <v>#REF!</v>
      </c>
      <c r="X29" s="739" t="e">
        <f t="shared" si="24"/>
        <v>#REF!</v>
      </c>
      <c r="Y29" s="739" t="e">
        <f t="shared" si="25"/>
        <v>#REF!</v>
      </c>
      <c r="Z29" s="739" t="e">
        <f t="shared" si="26"/>
        <v>#REF!</v>
      </c>
      <c r="AA29" s="739" t="e">
        <f t="shared" si="27"/>
        <v>#REF!</v>
      </c>
      <c r="AB29" s="739" t="e">
        <f t="shared" si="28"/>
        <v>#REF!</v>
      </c>
      <c r="AC29" s="739" t="e">
        <f t="shared" si="29"/>
        <v>#REF!</v>
      </c>
      <c r="AD29" s="739" t="e">
        <f t="shared" si="30"/>
        <v>#REF!</v>
      </c>
      <c r="AE29" s="739" t="e">
        <f t="shared" si="31"/>
        <v>#REF!</v>
      </c>
      <c r="AF29" s="739" t="e">
        <f t="shared" si="32"/>
        <v>#REF!</v>
      </c>
      <c r="AG29" s="739" t="e">
        <f t="shared" si="33"/>
        <v>#REF!</v>
      </c>
      <c r="AH29" s="739" t="e">
        <f t="shared" si="34"/>
        <v>#REF!</v>
      </c>
      <c r="AI29" s="739" t="e">
        <f t="shared" si="35"/>
        <v>#REF!</v>
      </c>
      <c r="AJ29" s="739" t="e">
        <f t="shared" si="36"/>
        <v>#REF!</v>
      </c>
      <c r="AK29" s="739" t="e">
        <f t="shared" si="37"/>
        <v>#REF!</v>
      </c>
      <c r="AL29" s="739" t="e">
        <f t="shared" si="38"/>
        <v>#REF!</v>
      </c>
      <c r="AM29" s="739" t="e">
        <f t="shared" si="39"/>
        <v>#REF!</v>
      </c>
      <c r="AN29" s="739" t="e">
        <f t="shared" si="40"/>
        <v>#REF!</v>
      </c>
      <c r="AO29" s="739" t="e">
        <f t="shared" si="41"/>
        <v>#REF!</v>
      </c>
      <c r="AP29" s="739" t="e">
        <f t="shared" si="42"/>
        <v>#REF!</v>
      </c>
      <c r="AQ29" s="739" t="e">
        <f t="shared" si="43"/>
        <v>#REF!</v>
      </c>
      <c r="AR29" s="739" t="e">
        <f t="shared" si="44"/>
        <v>#REF!</v>
      </c>
      <c r="AS29" s="739" t="e">
        <f t="shared" si="45"/>
        <v>#REF!</v>
      </c>
      <c r="AT29" s="199" t="e">
        <f>MDURATION([1]!EFFDATE,E29,F29,C29/100,2)</f>
        <v>#NAME?</v>
      </c>
      <c r="AU29" s="190">
        <f t="shared" si="0"/>
        <v>0</v>
      </c>
      <c r="AV29" s="191">
        <f t="shared" si="1"/>
        <v>0</v>
      </c>
      <c r="AW29" s="192">
        <f t="shared" si="2"/>
        <v>0</v>
      </c>
      <c r="AX29" s="192">
        <f t="shared" si="3"/>
        <v>0</v>
      </c>
      <c r="AY29" s="192">
        <f t="shared" si="4"/>
        <v>0</v>
      </c>
      <c r="AZ29" s="192">
        <f t="shared" si="5"/>
        <v>0</v>
      </c>
      <c r="BA29" s="192">
        <f t="shared" si="6"/>
        <v>0</v>
      </c>
      <c r="BB29" s="192">
        <f t="shared" si="7"/>
        <v>0</v>
      </c>
      <c r="BC29" s="9"/>
      <c r="BD29" s="9"/>
      <c r="BE29" s="9"/>
      <c r="BF29" s="9"/>
      <c r="BG29" s="9"/>
      <c r="BH29" s="9"/>
      <c r="BI29" s="9"/>
      <c r="BJ29" s="9"/>
      <c r="BK29" s="9"/>
      <c r="BL29" s="9"/>
      <c r="BM29" s="9"/>
      <c r="BN29" s="9"/>
      <c r="BO29" s="9"/>
      <c r="BP29" s="9"/>
      <c r="BQ29" s="9"/>
      <c r="BR29" s="9"/>
      <c r="BS29" s="9"/>
      <c r="BT29" s="9"/>
      <c r="BU29" s="9"/>
      <c r="BV29" s="9"/>
      <c r="BW29" s="9"/>
      <c r="BX29" s="9"/>
    </row>
    <row r="30" spans="1:76" ht="12.75">
      <c r="A30" s="206" t="s">
        <v>229</v>
      </c>
      <c r="B30" s="742"/>
      <c r="C30" s="205"/>
      <c r="D30" s="184" t="str">
        <f>IF(A30="Spare","Spare",IF(EFFDATE&gt;E30,"Matured",PRICE([1]!EFFDATE,E30,F30,C30/100,100,2,3)))</f>
        <v>Spare</v>
      </c>
      <c r="E30" s="743">
        <v>0</v>
      </c>
      <c r="F30" s="209">
        <v>0</v>
      </c>
      <c r="G30" s="210"/>
      <c r="H30" s="187">
        <f t="shared" si="46"/>
        <v>0</v>
      </c>
      <c r="I30" s="738">
        <f t="shared" si="9"/>
        <v>0</v>
      </c>
      <c r="J30" s="187">
        <f t="shared" si="10"/>
        <v>0</v>
      </c>
      <c r="K30" s="187">
        <f t="shared" si="11"/>
        <v>0</v>
      </c>
      <c r="L30" s="187">
        <f t="shared" si="12"/>
        <v>0</v>
      </c>
      <c r="M30" s="187">
        <f t="shared" si="13"/>
        <v>0</v>
      </c>
      <c r="N30" s="188" t="e">
        <f t="shared" si="47"/>
        <v>#REF!</v>
      </c>
      <c r="O30" s="739">
        <f t="shared" si="48"/>
        <v>0</v>
      </c>
      <c r="P30" s="739" t="e">
        <f t="shared" si="16"/>
        <v>#REF!</v>
      </c>
      <c r="Q30" s="739" t="e">
        <f t="shared" si="17"/>
        <v>#REF!</v>
      </c>
      <c r="R30" s="739" t="e">
        <f t="shared" si="18"/>
        <v>#REF!</v>
      </c>
      <c r="S30" s="739" t="e">
        <f t="shared" si="19"/>
        <v>#REF!</v>
      </c>
      <c r="T30" s="739" t="e">
        <f t="shared" si="20"/>
        <v>#REF!</v>
      </c>
      <c r="U30" s="739" t="e">
        <f t="shared" si="21"/>
        <v>#REF!</v>
      </c>
      <c r="V30" s="739" t="e">
        <f t="shared" si="22"/>
        <v>#REF!</v>
      </c>
      <c r="W30" s="739" t="e">
        <f t="shared" si="23"/>
        <v>#REF!</v>
      </c>
      <c r="X30" s="739" t="e">
        <f t="shared" si="24"/>
        <v>#REF!</v>
      </c>
      <c r="Y30" s="739" t="e">
        <f t="shared" si="25"/>
        <v>#REF!</v>
      </c>
      <c r="Z30" s="739" t="e">
        <f t="shared" si="26"/>
        <v>#REF!</v>
      </c>
      <c r="AA30" s="739" t="e">
        <f t="shared" si="27"/>
        <v>#REF!</v>
      </c>
      <c r="AB30" s="739" t="e">
        <f t="shared" si="28"/>
        <v>#REF!</v>
      </c>
      <c r="AC30" s="739" t="e">
        <f t="shared" si="29"/>
        <v>#REF!</v>
      </c>
      <c r="AD30" s="739" t="e">
        <f t="shared" si="30"/>
        <v>#REF!</v>
      </c>
      <c r="AE30" s="739" t="e">
        <f t="shared" si="31"/>
        <v>#REF!</v>
      </c>
      <c r="AF30" s="739" t="e">
        <f t="shared" si="32"/>
        <v>#REF!</v>
      </c>
      <c r="AG30" s="739" t="e">
        <f t="shared" si="33"/>
        <v>#REF!</v>
      </c>
      <c r="AH30" s="739" t="e">
        <f t="shared" si="34"/>
        <v>#REF!</v>
      </c>
      <c r="AI30" s="739" t="e">
        <f t="shared" si="35"/>
        <v>#REF!</v>
      </c>
      <c r="AJ30" s="739" t="e">
        <f t="shared" si="36"/>
        <v>#REF!</v>
      </c>
      <c r="AK30" s="739" t="e">
        <f t="shared" si="37"/>
        <v>#REF!</v>
      </c>
      <c r="AL30" s="739" t="e">
        <f t="shared" si="38"/>
        <v>#REF!</v>
      </c>
      <c r="AM30" s="739" t="e">
        <f t="shared" si="39"/>
        <v>#REF!</v>
      </c>
      <c r="AN30" s="739" t="e">
        <f t="shared" si="40"/>
        <v>#REF!</v>
      </c>
      <c r="AO30" s="739" t="e">
        <f t="shared" si="41"/>
        <v>#REF!</v>
      </c>
      <c r="AP30" s="739" t="e">
        <f t="shared" si="42"/>
        <v>#REF!</v>
      </c>
      <c r="AQ30" s="739" t="e">
        <f t="shared" si="43"/>
        <v>#REF!</v>
      </c>
      <c r="AR30" s="739" t="e">
        <f t="shared" si="44"/>
        <v>#REF!</v>
      </c>
      <c r="AS30" s="739" t="e">
        <f t="shared" si="45"/>
        <v>#REF!</v>
      </c>
      <c r="AT30" s="199" t="e">
        <f>MDURATION([1]!EFFDATE,E30,F30,C30/100,2)</f>
        <v>#NAME?</v>
      </c>
      <c r="AU30" s="190">
        <f t="shared" si="0"/>
        <v>0</v>
      </c>
      <c r="AV30" s="191">
        <f t="shared" si="1"/>
        <v>0</v>
      </c>
      <c r="AW30" s="192">
        <f t="shared" si="2"/>
        <v>0</v>
      </c>
      <c r="AX30" s="192">
        <f t="shared" si="3"/>
        <v>0</v>
      </c>
      <c r="AY30" s="192">
        <f t="shared" si="4"/>
        <v>0</v>
      </c>
      <c r="AZ30" s="192">
        <f t="shared" si="5"/>
        <v>0</v>
      </c>
      <c r="BA30" s="192">
        <f t="shared" si="6"/>
        <v>0</v>
      </c>
      <c r="BB30" s="192">
        <f t="shared" si="7"/>
        <v>0</v>
      </c>
      <c r="BC30" s="9"/>
      <c r="BD30" s="9"/>
      <c r="BE30" s="9"/>
      <c r="BF30" s="9"/>
      <c r="BG30" s="9"/>
      <c r="BH30" s="9"/>
      <c r="BI30" s="9"/>
      <c r="BJ30" s="9"/>
      <c r="BK30" s="9"/>
      <c r="BL30" s="9"/>
      <c r="BM30" s="9"/>
      <c r="BN30" s="9"/>
      <c r="BO30" s="9"/>
      <c r="BP30" s="9"/>
      <c r="BQ30" s="9"/>
      <c r="BR30" s="9"/>
      <c r="BS30" s="9"/>
      <c r="BT30" s="9"/>
      <c r="BU30" s="9"/>
      <c r="BV30" s="9"/>
      <c r="BW30" s="9"/>
      <c r="BX30" s="9"/>
    </row>
    <row r="31" spans="1:76" ht="12.75">
      <c r="A31" s="206" t="s">
        <v>229</v>
      </c>
      <c r="B31" s="742"/>
      <c r="C31" s="205"/>
      <c r="D31" s="184" t="str">
        <f>IF(A31="Spare","Spare",IF(EFFDATE&gt;E31,"Matured",PRICE([1]!EFFDATE,E31,F31,C31/100,100,2,3)))</f>
        <v>Spare</v>
      </c>
      <c r="E31" s="743">
        <v>0</v>
      </c>
      <c r="F31" s="209">
        <v>0</v>
      </c>
      <c r="G31" s="210"/>
      <c r="H31" s="187">
        <f t="shared" si="46"/>
        <v>0</v>
      </c>
      <c r="I31" s="738">
        <f t="shared" si="9"/>
        <v>0</v>
      </c>
      <c r="J31" s="187">
        <f t="shared" si="10"/>
        <v>0</v>
      </c>
      <c r="K31" s="187">
        <f t="shared" si="11"/>
        <v>0</v>
      </c>
      <c r="L31" s="187">
        <f t="shared" si="12"/>
        <v>0</v>
      </c>
      <c r="M31" s="187">
        <f t="shared" si="13"/>
        <v>0</v>
      </c>
      <c r="N31" s="188" t="e">
        <f t="shared" si="47"/>
        <v>#REF!</v>
      </c>
      <c r="O31" s="739">
        <f t="shared" si="48"/>
        <v>0</v>
      </c>
      <c r="P31" s="739" t="e">
        <f t="shared" si="16"/>
        <v>#REF!</v>
      </c>
      <c r="Q31" s="739" t="e">
        <f t="shared" si="17"/>
        <v>#REF!</v>
      </c>
      <c r="R31" s="739" t="e">
        <f t="shared" si="18"/>
        <v>#REF!</v>
      </c>
      <c r="S31" s="739" t="e">
        <f t="shared" si="19"/>
        <v>#REF!</v>
      </c>
      <c r="T31" s="739" t="e">
        <f t="shared" si="20"/>
        <v>#REF!</v>
      </c>
      <c r="U31" s="739" t="e">
        <f t="shared" si="21"/>
        <v>#REF!</v>
      </c>
      <c r="V31" s="739" t="e">
        <f t="shared" si="22"/>
        <v>#REF!</v>
      </c>
      <c r="W31" s="739" t="e">
        <f t="shared" si="23"/>
        <v>#REF!</v>
      </c>
      <c r="X31" s="739" t="e">
        <f t="shared" si="24"/>
        <v>#REF!</v>
      </c>
      <c r="Y31" s="739" t="e">
        <f t="shared" si="25"/>
        <v>#REF!</v>
      </c>
      <c r="Z31" s="739" t="e">
        <f t="shared" si="26"/>
        <v>#REF!</v>
      </c>
      <c r="AA31" s="739" t="e">
        <f t="shared" si="27"/>
        <v>#REF!</v>
      </c>
      <c r="AB31" s="739" t="e">
        <f t="shared" si="28"/>
        <v>#REF!</v>
      </c>
      <c r="AC31" s="739" t="e">
        <f t="shared" si="29"/>
        <v>#REF!</v>
      </c>
      <c r="AD31" s="739" t="e">
        <f t="shared" si="30"/>
        <v>#REF!</v>
      </c>
      <c r="AE31" s="739" t="e">
        <f t="shared" si="31"/>
        <v>#REF!</v>
      </c>
      <c r="AF31" s="739" t="e">
        <f t="shared" si="32"/>
        <v>#REF!</v>
      </c>
      <c r="AG31" s="739" t="e">
        <f t="shared" si="33"/>
        <v>#REF!</v>
      </c>
      <c r="AH31" s="739" t="e">
        <f t="shared" si="34"/>
        <v>#REF!</v>
      </c>
      <c r="AI31" s="739" t="e">
        <f t="shared" si="35"/>
        <v>#REF!</v>
      </c>
      <c r="AJ31" s="739" t="e">
        <f t="shared" si="36"/>
        <v>#REF!</v>
      </c>
      <c r="AK31" s="739" t="e">
        <f t="shared" si="37"/>
        <v>#REF!</v>
      </c>
      <c r="AL31" s="739" t="e">
        <f t="shared" si="38"/>
        <v>#REF!</v>
      </c>
      <c r="AM31" s="739" t="e">
        <f t="shared" si="39"/>
        <v>#REF!</v>
      </c>
      <c r="AN31" s="739" t="e">
        <f t="shared" si="40"/>
        <v>#REF!</v>
      </c>
      <c r="AO31" s="739" t="e">
        <f t="shared" si="41"/>
        <v>#REF!</v>
      </c>
      <c r="AP31" s="739" t="e">
        <f t="shared" si="42"/>
        <v>#REF!</v>
      </c>
      <c r="AQ31" s="739" t="e">
        <f t="shared" si="43"/>
        <v>#REF!</v>
      </c>
      <c r="AR31" s="739" t="e">
        <f t="shared" si="44"/>
        <v>#REF!</v>
      </c>
      <c r="AS31" s="739" t="e">
        <f t="shared" si="45"/>
        <v>#REF!</v>
      </c>
      <c r="AT31" s="199" t="e">
        <f>MDURATION([1]!EFFDATE,E31,F31,C31/100,2)</f>
        <v>#NAME?</v>
      </c>
      <c r="AU31" s="190">
        <f t="shared" si="0"/>
        <v>0</v>
      </c>
      <c r="AV31" s="191">
        <f t="shared" si="1"/>
        <v>0</v>
      </c>
      <c r="AW31" s="192">
        <f t="shared" si="2"/>
        <v>0</v>
      </c>
      <c r="AX31" s="192">
        <f t="shared" si="3"/>
        <v>0</v>
      </c>
      <c r="AY31" s="192">
        <f t="shared" si="4"/>
        <v>0</v>
      </c>
      <c r="AZ31" s="192">
        <f t="shared" si="5"/>
        <v>0</v>
      </c>
      <c r="BA31" s="192">
        <f t="shared" si="6"/>
        <v>0</v>
      </c>
      <c r="BB31" s="192">
        <f t="shared" si="7"/>
        <v>0</v>
      </c>
      <c r="BC31" s="9"/>
      <c r="BD31" s="9"/>
      <c r="BE31" s="9"/>
      <c r="BF31" s="9"/>
      <c r="BG31" s="9"/>
      <c r="BH31" s="9"/>
      <c r="BI31" s="9"/>
      <c r="BJ31" s="9"/>
      <c r="BK31" s="9"/>
      <c r="BL31" s="9"/>
      <c r="BM31" s="9"/>
      <c r="BN31" s="9"/>
      <c r="BO31" s="9"/>
      <c r="BP31" s="9"/>
      <c r="BQ31" s="9"/>
      <c r="BR31" s="9"/>
      <c r="BS31" s="9"/>
      <c r="BT31" s="9"/>
      <c r="BU31" s="9"/>
      <c r="BV31" s="9"/>
      <c r="BW31" s="9"/>
      <c r="BX31" s="9"/>
    </row>
    <row r="32" spans="1:76" ht="12.75">
      <c r="A32" s="206" t="s">
        <v>229</v>
      </c>
      <c r="B32" s="742"/>
      <c r="C32" s="205"/>
      <c r="D32" s="184" t="str">
        <f>IF(A32="Spare","Spare",IF(EFFDATE&gt;E32,"Matured",PRICE([1]!EFFDATE,E32,F32,C32/100,100,2,3)))</f>
        <v>Spare</v>
      </c>
      <c r="E32" s="743">
        <v>0</v>
      </c>
      <c r="F32" s="209">
        <v>0</v>
      </c>
      <c r="G32" s="210"/>
      <c r="H32" s="187">
        <f t="shared" si="46"/>
        <v>0</v>
      </c>
      <c r="I32" s="738">
        <f t="shared" si="9"/>
        <v>0</v>
      </c>
      <c r="J32" s="187">
        <f t="shared" si="10"/>
        <v>0</v>
      </c>
      <c r="K32" s="187">
        <f t="shared" si="11"/>
        <v>0</v>
      </c>
      <c r="L32" s="187">
        <f t="shared" si="12"/>
        <v>0</v>
      </c>
      <c r="M32" s="187">
        <f t="shared" si="13"/>
        <v>0</v>
      </c>
      <c r="N32" s="188" t="e">
        <f t="shared" si="47"/>
        <v>#REF!</v>
      </c>
      <c r="O32" s="739">
        <f t="shared" si="48"/>
        <v>0</v>
      </c>
      <c r="P32" s="739" t="e">
        <f t="shared" si="16"/>
        <v>#REF!</v>
      </c>
      <c r="Q32" s="739" t="e">
        <f t="shared" si="17"/>
        <v>#REF!</v>
      </c>
      <c r="R32" s="739" t="e">
        <f t="shared" si="18"/>
        <v>#REF!</v>
      </c>
      <c r="S32" s="739" t="e">
        <f t="shared" si="19"/>
        <v>#REF!</v>
      </c>
      <c r="T32" s="739" t="e">
        <f t="shared" si="20"/>
        <v>#REF!</v>
      </c>
      <c r="U32" s="739" t="e">
        <f t="shared" si="21"/>
        <v>#REF!</v>
      </c>
      <c r="V32" s="739" t="e">
        <f t="shared" si="22"/>
        <v>#REF!</v>
      </c>
      <c r="W32" s="739" t="e">
        <f t="shared" si="23"/>
        <v>#REF!</v>
      </c>
      <c r="X32" s="739" t="e">
        <f t="shared" si="24"/>
        <v>#REF!</v>
      </c>
      <c r="Y32" s="739" t="e">
        <f t="shared" si="25"/>
        <v>#REF!</v>
      </c>
      <c r="Z32" s="739" t="e">
        <f t="shared" si="26"/>
        <v>#REF!</v>
      </c>
      <c r="AA32" s="739" t="e">
        <f t="shared" si="27"/>
        <v>#REF!</v>
      </c>
      <c r="AB32" s="739" t="e">
        <f t="shared" si="28"/>
        <v>#REF!</v>
      </c>
      <c r="AC32" s="739" t="e">
        <f t="shared" si="29"/>
        <v>#REF!</v>
      </c>
      <c r="AD32" s="739" t="e">
        <f t="shared" si="30"/>
        <v>#REF!</v>
      </c>
      <c r="AE32" s="739" t="e">
        <f t="shared" si="31"/>
        <v>#REF!</v>
      </c>
      <c r="AF32" s="739" t="e">
        <f t="shared" si="32"/>
        <v>#REF!</v>
      </c>
      <c r="AG32" s="739" t="e">
        <f t="shared" si="33"/>
        <v>#REF!</v>
      </c>
      <c r="AH32" s="739" t="e">
        <f t="shared" si="34"/>
        <v>#REF!</v>
      </c>
      <c r="AI32" s="739" t="e">
        <f t="shared" si="35"/>
        <v>#REF!</v>
      </c>
      <c r="AJ32" s="739" t="e">
        <f t="shared" si="36"/>
        <v>#REF!</v>
      </c>
      <c r="AK32" s="739" t="e">
        <f t="shared" si="37"/>
        <v>#REF!</v>
      </c>
      <c r="AL32" s="739" t="e">
        <f t="shared" si="38"/>
        <v>#REF!</v>
      </c>
      <c r="AM32" s="739" t="e">
        <f t="shared" si="39"/>
        <v>#REF!</v>
      </c>
      <c r="AN32" s="739" t="e">
        <f t="shared" si="40"/>
        <v>#REF!</v>
      </c>
      <c r="AO32" s="739" t="e">
        <f t="shared" si="41"/>
        <v>#REF!</v>
      </c>
      <c r="AP32" s="739" t="e">
        <f t="shared" si="42"/>
        <v>#REF!</v>
      </c>
      <c r="AQ32" s="739" t="e">
        <f t="shared" si="43"/>
        <v>#REF!</v>
      </c>
      <c r="AR32" s="739" t="e">
        <f t="shared" si="44"/>
        <v>#REF!</v>
      </c>
      <c r="AS32" s="739" t="e">
        <f t="shared" si="45"/>
        <v>#REF!</v>
      </c>
      <c r="AT32" s="199" t="e">
        <f>MDURATION([1]!EFFDATE,E32,F32,C32/100,2)</f>
        <v>#NAME?</v>
      </c>
      <c r="AU32" s="190">
        <f t="shared" si="0"/>
        <v>0</v>
      </c>
      <c r="AV32" s="191">
        <f t="shared" si="1"/>
        <v>0</v>
      </c>
      <c r="AW32" s="192">
        <f t="shared" si="2"/>
        <v>0</v>
      </c>
      <c r="AX32" s="192">
        <f t="shared" si="3"/>
        <v>0</v>
      </c>
      <c r="AY32" s="192">
        <f t="shared" si="4"/>
        <v>0</v>
      </c>
      <c r="AZ32" s="192">
        <f t="shared" si="5"/>
        <v>0</v>
      </c>
      <c r="BA32" s="192">
        <f t="shared" si="6"/>
        <v>0</v>
      </c>
      <c r="BB32" s="192">
        <f t="shared" si="7"/>
        <v>0</v>
      </c>
      <c r="BC32" s="9"/>
      <c r="BD32" s="9"/>
      <c r="BE32" s="9"/>
      <c r="BF32" s="9"/>
      <c r="BG32" s="9"/>
      <c r="BH32" s="9"/>
      <c r="BI32" s="9"/>
      <c r="BJ32" s="9"/>
      <c r="BK32" s="9"/>
      <c r="BL32" s="9"/>
      <c r="BM32" s="9"/>
      <c r="BN32" s="9"/>
      <c r="BO32" s="9"/>
      <c r="BP32" s="9"/>
      <c r="BQ32" s="9"/>
      <c r="BR32" s="9"/>
      <c r="BS32" s="9"/>
      <c r="BT32" s="9"/>
      <c r="BU32" s="9"/>
      <c r="BV32" s="9"/>
      <c r="BW32" s="9"/>
      <c r="BX32" s="9"/>
    </row>
    <row r="33" spans="1:76" ht="13.5" thickBot="1">
      <c r="A33" s="207" t="s">
        <v>229</v>
      </c>
      <c r="B33" s="744"/>
      <c r="C33" s="208"/>
      <c r="D33" s="184" t="str">
        <f>IF(A33="Spare","Spare",IF(EFFDATE&gt;E33,"Matured",PRICE([1]!EFFDATE,E33,F33,C33/100,100,2,3)))</f>
        <v>Spare</v>
      </c>
      <c r="E33" s="745">
        <v>0</v>
      </c>
      <c r="F33" s="211">
        <v>0</v>
      </c>
      <c r="G33" s="212"/>
      <c r="H33" s="746">
        <f t="shared" si="46"/>
        <v>0</v>
      </c>
      <c r="I33" s="747">
        <f t="shared" si="9"/>
        <v>0</v>
      </c>
      <c r="J33" s="746">
        <f t="shared" si="10"/>
        <v>0</v>
      </c>
      <c r="K33" s="746">
        <f t="shared" si="11"/>
        <v>0</v>
      </c>
      <c r="L33" s="746">
        <f t="shared" si="12"/>
        <v>0</v>
      </c>
      <c r="M33" s="746">
        <f t="shared" si="13"/>
        <v>0</v>
      </c>
      <c r="N33" s="200" t="e">
        <f t="shared" si="47"/>
        <v>#REF!</v>
      </c>
      <c r="O33" s="748">
        <f t="shared" si="48"/>
        <v>0</v>
      </c>
      <c r="P33" s="748" t="e">
        <f t="shared" si="16"/>
        <v>#REF!</v>
      </c>
      <c r="Q33" s="748" t="e">
        <f t="shared" si="17"/>
        <v>#REF!</v>
      </c>
      <c r="R33" s="748" t="e">
        <f t="shared" si="18"/>
        <v>#REF!</v>
      </c>
      <c r="S33" s="748" t="e">
        <f t="shared" si="19"/>
        <v>#REF!</v>
      </c>
      <c r="T33" s="748" t="e">
        <f t="shared" si="20"/>
        <v>#REF!</v>
      </c>
      <c r="U33" s="748" t="e">
        <f t="shared" si="21"/>
        <v>#REF!</v>
      </c>
      <c r="V33" s="748" t="e">
        <f t="shared" si="22"/>
        <v>#REF!</v>
      </c>
      <c r="W33" s="748" t="e">
        <f t="shared" si="23"/>
        <v>#REF!</v>
      </c>
      <c r="X33" s="748" t="e">
        <f t="shared" si="24"/>
        <v>#REF!</v>
      </c>
      <c r="Y33" s="748" t="e">
        <f t="shared" si="25"/>
        <v>#REF!</v>
      </c>
      <c r="Z33" s="748" t="e">
        <f t="shared" si="26"/>
        <v>#REF!</v>
      </c>
      <c r="AA33" s="748" t="e">
        <f t="shared" si="27"/>
        <v>#REF!</v>
      </c>
      <c r="AB33" s="748" t="e">
        <f t="shared" si="28"/>
        <v>#REF!</v>
      </c>
      <c r="AC33" s="748" t="e">
        <f t="shared" si="29"/>
        <v>#REF!</v>
      </c>
      <c r="AD33" s="748" t="e">
        <f t="shared" si="30"/>
        <v>#REF!</v>
      </c>
      <c r="AE33" s="748" t="e">
        <f t="shared" si="31"/>
        <v>#REF!</v>
      </c>
      <c r="AF33" s="748" t="e">
        <f t="shared" si="32"/>
        <v>#REF!</v>
      </c>
      <c r="AG33" s="748" t="e">
        <f t="shared" si="33"/>
        <v>#REF!</v>
      </c>
      <c r="AH33" s="748" t="e">
        <f t="shared" si="34"/>
        <v>#REF!</v>
      </c>
      <c r="AI33" s="748" t="e">
        <f t="shared" si="35"/>
        <v>#REF!</v>
      </c>
      <c r="AJ33" s="748" t="e">
        <f t="shared" si="36"/>
        <v>#REF!</v>
      </c>
      <c r="AK33" s="748" t="e">
        <f t="shared" si="37"/>
        <v>#REF!</v>
      </c>
      <c r="AL33" s="748" t="e">
        <f t="shared" si="38"/>
        <v>#REF!</v>
      </c>
      <c r="AM33" s="748" t="e">
        <f t="shared" si="39"/>
        <v>#REF!</v>
      </c>
      <c r="AN33" s="748" t="e">
        <f t="shared" si="40"/>
        <v>#REF!</v>
      </c>
      <c r="AO33" s="748" t="e">
        <f t="shared" si="41"/>
        <v>#REF!</v>
      </c>
      <c r="AP33" s="748" t="e">
        <f t="shared" si="42"/>
        <v>#REF!</v>
      </c>
      <c r="AQ33" s="748" t="e">
        <f t="shared" si="43"/>
        <v>#REF!</v>
      </c>
      <c r="AR33" s="748" t="e">
        <f t="shared" si="44"/>
        <v>#REF!</v>
      </c>
      <c r="AS33" s="748" t="e">
        <f t="shared" si="45"/>
        <v>#REF!</v>
      </c>
      <c r="AT33" s="201" t="e">
        <f>MDURATION([1]!EFFDATE,E33,F33,C33/100,2)</f>
        <v>#NAME?</v>
      </c>
      <c r="AU33" s="190">
        <f t="shared" si="0"/>
        <v>0</v>
      </c>
      <c r="AV33" s="191">
        <f t="shared" si="1"/>
        <v>0</v>
      </c>
      <c r="AW33" s="192">
        <f t="shared" si="2"/>
        <v>0</v>
      </c>
      <c r="AX33" s="192">
        <f t="shared" si="3"/>
        <v>0</v>
      </c>
      <c r="AY33" s="192">
        <f t="shared" si="4"/>
        <v>0</v>
      </c>
      <c r="AZ33" s="192">
        <f t="shared" si="5"/>
        <v>0</v>
      </c>
      <c r="BA33" s="192">
        <f t="shared" si="6"/>
        <v>0</v>
      </c>
      <c r="BB33" s="192">
        <f t="shared" si="7"/>
        <v>0</v>
      </c>
      <c r="BC33" s="9"/>
      <c r="BD33" s="9"/>
      <c r="BE33" s="9"/>
      <c r="BF33" s="9"/>
      <c r="BG33" s="9"/>
      <c r="BH33" s="9"/>
      <c r="BI33" s="9"/>
      <c r="BJ33" s="9"/>
      <c r="BK33" s="9"/>
      <c r="BL33" s="9"/>
      <c r="BM33" s="9"/>
      <c r="BN33" s="9"/>
      <c r="BO33" s="9"/>
      <c r="BP33" s="9"/>
      <c r="BQ33" s="9"/>
      <c r="BR33" s="9"/>
      <c r="BS33" s="9"/>
      <c r="BT33" s="9"/>
      <c r="BU33" s="9"/>
      <c r="BV33" s="9"/>
      <c r="BW33" s="9"/>
      <c r="BX33" s="9"/>
    </row>
    <row r="34" spans="1:76" ht="14.25" thickBot="1" thickTop="1">
      <c r="A34" s="9"/>
      <c r="B34" s="9"/>
      <c r="C34" s="9"/>
      <c r="D34" s="9"/>
      <c r="E34" s="9"/>
      <c r="F34" s="9"/>
      <c r="G34" s="9"/>
      <c r="H34" s="9"/>
      <c r="I34" s="749">
        <f>SUM(I5:I33)</f>
        <v>968555</v>
      </c>
      <c r="J34" s="750">
        <f>SUM(J5:J33)</f>
        <v>0</v>
      </c>
      <c r="K34" s="750">
        <f>SUM(K5:K33)</f>
        <v>0</v>
      </c>
      <c r="L34" s="750">
        <f>SUM(L5:L33)</f>
        <v>0</v>
      </c>
      <c r="M34" s="750">
        <f>SUM(M5:M33)</f>
        <v>0</v>
      </c>
      <c r="N34" s="202"/>
      <c r="O34" s="9"/>
      <c r="P34" s="750" t="e">
        <f aca="true" t="shared" si="49" ref="P34:AS34">SUM(P5:P33)</f>
        <v>#REF!</v>
      </c>
      <c r="Q34" s="750" t="e">
        <f t="shared" si="49"/>
        <v>#REF!</v>
      </c>
      <c r="R34" s="750" t="e">
        <f t="shared" si="49"/>
        <v>#REF!</v>
      </c>
      <c r="S34" s="750" t="e">
        <f t="shared" si="49"/>
        <v>#REF!</v>
      </c>
      <c r="T34" s="750" t="e">
        <f t="shared" si="49"/>
        <v>#REF!</v>
      </c>
      <c r="U34" s="750" t="e">
        <f t="shared" si="49"/>
        <v>#REF!</v>
      </c>
      <c r="V34" s="750" t="e">
        <f t="shared" si="49"/>
        <v>#REF!</v>
      </c>
      <c r="W34" s="750" t="e">
        <f t="shared" si="49"/>
        <v>#REF!</v>
      </c>
      <c r="X34" s="750" t="e">
        <f t="shared" si="49"/>
        <v>#REF!</v>
      </c>
      <c r="Y34" s="750" t="e">
        <f t="shared" si="49"/>
        <v>#REF!</v>
      </c>
      <c r="Z34" s="750" t="e">
        <f t="shared" si="49"/>
        <v>#REF!</v>
      </c>
      <c r="AA34" s="750" t="e">
        <f t="shared" si="49"/>
        <v>#REF!</v>
      </c>
      <c r="AB34" s="750" t="e">
        <f t="shared" si="49"/>
        <v>#REF!</v>
      </c>
      <c r="AC34" s="750" t="e">
        <f t="shared" si="49"/>
        <v>#REF!</v>
      </c>
      <c r="AD34" s="750" t="e">
        <f t="shared" si="49"/>
        <v>#REF!</v>
      </c>
      <c r="AE34" s="750" t="e">
        <f t="shared" si="49"/>
        <v>#REF!</v>
      </c>
      <c r="AF34" s="750" t="e">
        <f t="shared" si="49"/>
        <v>#REF!</v>
      </c>
      <c r="AG34" s="750" t="e">
        <f t="shared" si="49"/>
        <v>#REF!</v>
      </c>
      <c r="AH34" s="750" t="e">
        <f t="shared" si="49"/>
        <v>#REF!</v>
      </c>
      <c r="AI34" s="750" t="e">
        <f t="shared" si="49"/>
        <v>#REF!</v>
      </c>
      <c r="AJ34" s="750" t="e">
        <f t="shared" si="49"/>
        <v>#REF!</v>
      </c>
      <c r="AK34" s="750" t="e">
        <f t="shared" si="49"/>
        <v>#REF!</v>
      </c>
      <c r="AL34" s="750" t="e">
        <f t="shared" si="49"/>
        <v>#REF!</v>
      </c>
      <c r="AM34" s="750" t="e">
        <f t="shared" si="49"/>
        <v>#REF!</v>
      </c>
      <c r="AN34" s="750" t="e">
        <f t="shared" si="49"/>
        <v>#REF!</v>
      </c>
      <c r="AO34" s="750" t="e">
        <f t="shared" si="49"/>
        <v>#REF!</v>
      </c>
      <c r="AP34" s="750" t="e">
        <f t="shared" si="49"/>
        <v>#REF!</v>
      </c>
      <c r="AQ34" s="750" t="e">
        <f t="shared" si="49"/>
        <v>#REF!</v>
      </c>
      <c r="AR34" s="750" t="e">
        <f t="shared" si="49"/>
        <v>#REF!</v>
      </c>
      <c r="AS34" s="750" t="e">
        <f t="shared" si="49"/>
        <v>#REF!</v>
      </c>
      <c r="AT34" s="192"/>
      <c r="AU34" s="192"/>
      <c r="AV34" s="192"/>
      <c r="AW34" s="192">
        <f aca="true" t="shared" si="50" ref="AW34:BB34">SUM(AW5:AW33)</f>
        <v>0</v>
      </c>
      <c r="AX34" s="192">
        <f t="shared" si="50"/>
        <v>0</v>
      </c>
      <c r="AY34" s="192">
        <f t="shared" si="50"/>
        <v>0</v>
      </c>
      <c r="AZ34" s="192">
        <f t="shared" si="50"/>
        <v>0</v>
      </c>
      <c r="BA34" s="192">
        <f t="shared" si="50"/>
        <v>0</v>
      </c>
      <c r="BB34" s="192">
        <f t="shared" si="50"/>
        <v>0</v>
      </c>
      <c r="BC34" s="9"/>
      <c r="BD34" s="9"/>
      <c r="BE34" s="9"/>
      <c r="BF34" s="9"/>
      <c r="BG34" s="9"/>
      <c r="BH34" s="9"/>
      <c r="BI34" s="9"/>
      <c r="BJ34" s="9"/>
      <c r="BK34" s="9"/>
      <c r="BL34" s="9"/>
      <c r="BM34" s="9"/>
      <c r="BN34" s="9"/>
      <c r="BO34" s="9"/>
      <c r="BP34" s="9"/>
      <c r="BQ34" s="9"/>
      <c r="BR34" s="9"/>
      <c r="BS34" s="9"/>
      <c r="BT34" s="9"/>
      <c r="BU34" s="9"/>
      <c r="BV34" s="9"/>
      <c r="BW34" s="9"/>
      <c r="BX34" s="9"/>
    </row>
    <row r="35" spans="1:76" ht="12.7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row>
    <row r="36" spans="1:76" ht="12.75">
      <c r="A36" s="9"/>
      <c r="B36" s="9"/>
      <c r="C36" s="9"/>
      <c r="D36" s="9"/>
      <c r="E36" s="9"/>
      <c r="F36" s="9"/>
      <c r="G36" s="9"/>
      <c r="H36" s="9"/>
      <c r="I36" s="9"/>
      <c r="J36" s="9"/>
      <c r="K36" s="9"/>
      <c r="L36" s="9"/>
      <c r="M36" s="203" t="s">
        <v>230</v>
      </c>
      <c r="N36" s="133"/>
      <c r="O36" s="133"/>
      <c r="P36" s="191" t="e">
        <f aca="true" t="shared" si="51" ref="P36:AD36">P34</f>
        <v>#REF!</v>
      </c>
      <c r="Q36" s="191" t="e">
        <f t="shared" si="51"/>
        <v>#REF!</v>
      </c>
      <c r="R36" s="191" t="e">
        <f t="shared" si="51"/>
        <v>#REF!</v>
      </c>
      <c r="S36" s="191" t="e">
        <f t="shared" si="51"/>
        <v>#REF!</v>
      </c>
      <c r="T36" s="191" t="e">
        <f t="shared" si="51"/>
        <v>#REF!</v>
      </c>
      <c r="U36" s="191" t="e">
        <f t="shared" si="51"/>
        <v>#REF!</v>
      </c>
      <c r="V36" s="191" t="e">
        <f t="shared" si="51"/>
        <v>#REF!</v>
      </c>
      <c r="W36" s="191" t="e">
        <f t="shared" si="51"/>
        <v>#REF!</v>
      </c>
      <c r="X36" s="191" t="e">
        <f t="shared" si="51"/>
        <v>#REF!</v>
      </c>
      <c r="Y36" s="191" t="e">
        <f t="shared" si="51"/>
        <v>#REF!</v>
      </c>
      <c r="Z36" s="191" t="e">
        <f t="shared" si="51"/>
        <v>#REF!</v>
      </c>
      <c r="AA36" s="191" t="e">
        <f t="shared" si="51"/>
        <v>#REF!</v>
      </c>
      <c r="AB36" s="191" t="e">
        <f t="shared" si="51"/>
        <v>#REF!</v>
      </c>
      <c r="AC36" s="191" t="e">
        <f t="shared" si="51"/>
        <v>#REF!</v>
      </c>
      <c r="AD36" s="191" t="e">
        <f t="shared" si="51"/>
        <v>#REF!</v>
      </c>
      <c r="AE36" s="133"/>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6" ht="12.75">
      <c r="A37" s="9"/>
      <c r="B37" s="9"/>
      <c r="C37" s="9"/>
      <c r="D37" s="9"/>
      <c r="E37" s="9"/>
      <c r="F37" s="9"/>
      <c r="G37" s="9"/>
      <c r="H37" s="9"/>
      <c r="I37" s="9"/>
      <c r="J37" s="9"/>
      <c r="K37" s="9"/>
      <c r="L37" s="9"/>
      <c r="M37" s="133" t="s">
        <v>231</v>
      </c>
      <c r="N37" s="133"/>
      <c r="O37" s="133"/>
      <c r="P37" s="133"/>
      <c r="Q37" s="133"/>
      <c r="R37" s="133"/>
      <c r="S37" s="133"/>
      <c r="T37" s="133"/>
      <c r="U37" s="133"/>
      <c r="V37" s="133"/>
      <c r="W37" s="133"/>
      <c r="X37" s="133"/>
      <c r="Y37" s="133"/>
      <c r="Z37" s="133"/>
      <c r="AA37" s="133"/>
      <c r="AB37" s="133"/>
      <c r="AC37" s="133"/>
      <c r="AD37" s="133"/>
      <c r="AE37" s="133"/>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row>
    <row r="38" spans="1:76" ht="12.75">
      <c r="A38" s="9"/>
      <c r="B38" s="9"/>
      <c r="C38" s="9"/>
      <c r="D38" s="9"/>
      <c r="E38" s="9"/>
      <c r="F38" s="9"/>
      <c r="G38" s="9"/>
      <c r="H38" s="9"/>
      <c r="I38" s="9"/>
      <c r="J38" s="9"/>
      <c r="K38" s="9"/>
      <c r="L38" s="9"/>
      <c r="M38" s="203" t="s">
        <v>232</v>
      </c>
      <c r="N38" s="133"/>
      <c r="O38" s="133"/>
      <c r="P38" s="191" t="e">
        <f aca="true" t="shared" si="52" ref="P38:AD38">AE34</f>
        <v>#REF!</v>
      </c>
      <c r="Q38" s="191" t="e">
        <f t="shared" si="52"/>
        <v>#REF!</v>
      </c>
      <c r="R38" s="191" t="e">
        <f t="shared" si="52"/>
        <v>#REF!</v>
      </c>
      <c r="S38" s="191" t="e">
        <f t="shared" si="52"/>
        <v>#REF!</v>
      </c>
      <c r="T38" s="191" t="e">
        <f t="shared" si="52"/>
        <v>#REF!</v>
      </c>
      <c r="U38" s="191" t="e">
        <f t="shared" si="52"/>
        <v>#REF!</v>
      </c>
      <c r="V38" s="191" t="e">
        <f t="shared" si="52"/>
        <v>#REF!</v>
      </c>
      <c r="W38" s="191" t="e">
        <f t="shared" si="52"/>
        <v>#REF!</v>
      </c>
      <c r="X38" s="191" t="e">
        <f t="shared" si="52"/>
        <v>#REF!</v>
      </c>
      <c r="Y38" s="191" t="e">
        <f t="shared" si="52"/>
        <v>#REF!</v>
      </c>
      <c r="Z38" s="191" t="e">
        <f t="shared" si="52"/>
        <v>#REF!</v>
      </c>
      <c r="AA38" s="191" t="e">
        <f t="shared" si="52"/>
        <v>#REF!</v>
      </c>
      <c r="AB38" s="191" t="e">
        <f t="shared" si="52"/>
        <v>#REF!</v>
      </c>
      <c r="AC38" s="191" t="e">
        <f t="shared" si="52"/>
        <v>#REF!</v>
      </c>
      <c r="AD38" s="191" t="e">
        <f t="shared" si="52"/>
        <v>#REF!</v>
      </c>
      <c r="AE38" s="133"/>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row>
    <row r="39" spans="1:76" ht="12.75">
      <c r="A39" s="9"/>
      <c r="B39" s="9"/>
      <c r="C39" s="9"/>
      <c r="D39" s="9"/>
      <c r="E39" s="9"/>
      <c r="F39" s="9"/>
      <c r="G39" s="9"/>
      <c r="H39" s="9"/>
      <c r="I39" s="9"/>
      <c r="J39" s="9"/>
      <c r="K39" s="9"/>
      <c r="L39" s="9"/>
      <c r="M39" s="203" t="s">
        <v>233</v>
      </c>
      <c r="N39" s="133"/>
      <c r="O39" s="133"/>
      <c r="P39" s="133"/>
      <c r="Q39" s="133"/>
      <c r="R39" s="133"/>
      <c r="S39" s="133"/>
      <c r="T39" s="133"/>
      <c r="U39" s="133"/>
      <c r="V39" s="133"/>
      <c r="W39" s="133"/>
      <c r="X39" s="133"/>
      <c r="Y39" s="133"/>
      <c r="Z39" s="133"/>
      <c r="AA39" s="133"/>
      <c r="AB39" s="133"/>
      <c r="AC39" s="133"/>
      <c r="AD39" s="133"/>
      <c r="AE39" s="133"/>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row>
    <row r="40" spans="1:76" ht="12.75">
      <c r="A40" s="9"/>
      <c r="B40" s="9"/>
      <c r="C40" s="9"/>
      <c r="D40" s="9"/>
      <c r="E40" s="9"/>
      <c r="F40" s="9"/>
      <c r="G40" s="9"/>
      <c r="H40" s="9"/>
      <c r="I40" s="9"/>
      <c r="J40" s="9"/>
      <c r="K40" s="9"/>
      <c r="L40" s="9"/>
      <c r="M40" s="133" t="s">
        <v>234</v>
      </c>
      <c r="N40" s="133"/>
      <c r="O40" s="133"/>
      <c r="P40" s="191" t="e">
        <f>IF(P36&lt;-P38,P36,P38)</f>
        <v>#REF!</v>
      </c>
      <c r="Q40" s="191" t="e">
        <f>IF(Q36&lt;-Q38,Q36,Q38)</f>
        <v>#REF!</v>
      </c>
      <c r="R40" s="191" t="e">
        <f aca="true" t="shared" si="53" ref="R40:AD40">IF(R36&lt;-R38,R36,R38)</f>
        <v>#REF!</v>
      </c>
      <c r="S40" s="191" t="e">
        <f t="shared" si="53"/>
        <v>#REF!</v>
      </c>
      <c r="T40" s="191" t="e">
        <f t="shared" si="53"/>
        <v>#REF!</v>
      </c>
      <c r="U40" s="191" t="e">
        <f t="shared" si="53"/>
        <v>#REF!</v>
      </c>
      <c r="V40" s="191" t="e">
        <f t="shared" si="53"/>
        <v>#REF!</v>
      </c>
      <c r="W40" s="191" t="e">
        <f t="shared" si="53"/>
        <v>#REF!</v>
      </c>
      <c r="X40" s="191" t="e">
        <f t="shared" si="53"/>
        <v>#REF!</v>
      </c>
      <c r="Y40" s="191" t="e">
        <f t="shared" si="53"/>
        <v>#REF!</v>
      </c>
      <c r="Z40" s="191" t="e">
        <f t="shared" si="53"/>
        <v>#REF!</v>
      </c>
      <c r="AA40" s="191" t="e">
        <f t="shared" si="53"/>
        <v>#REF!</v>
      </c>
      <c r="AB40" s="191" t="e">
        <f t="shared" si="53"/>
        <v>#REF!</v>
      </c>
      <c r="AC40" s="191" t="e">
        <f t="shared" si="53"/>
        <v>#REF!</v>
      </c>
      <c r="AD40" s="191" t="e">
        <f t="shared" si="53"/>
        <v>#REF!</v>
      </c>
      <c r="AE40" s="183" t="s">
        <v>152</v>
      </c>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row>
    <row r="41" spans="1:76" ht="12.75">
      <c r="A41" s="9"/>
      <c r="B41" s="9"/>
      <c r="C41" s="9"/>
      <c r="D41" s="9"/>
      <c r="E41" s="9"/>
      <c r="F41" s="9"/>
      <c r="G41" s="9"/>
      <c r="H41" s="9"/>
      <c r="I41" s="9"/>
      <c r="J41" s="9"/>
      <c r="K41" s="9"/>
      <c r="L41" s="9"/>
      <c r="M41" s="133" t="s">
        <v>235</v>
      </c>
      <c r="N41" s="133"/>
      <c r="O41" s="133"/>
      <c r="P41" s="191" t="e">
        <f>ABS(P40)</f>
        <v>#REF!</v>
      </c>
      <c r="Q41" s="191" t="e">
        <f aca="true" t="shared" si="54" ref="Q41:AD41">ABS(Q40)</f>
        <v>#REF!</v>
      </c>
      <c r="R41" s="191" t="e">
        <f t="shared" si="54"/>
        <v>#REF!</v>
      </c>
      <c r="S41" s="191" t="e">
        <f t="shared" si="54"/>
        <v>#REF!</v>
      </c>
      <c r="T41" s="191" t="e">
        <f t="shared" si="54"/>
        <v>#REF!</v>
      </c>
      <c r="U41" s="191" t="e">
        <f t="shared" si="54"/>
        <v>#REF!</v>
      </c>
      <c r="V41" s="191" t="e">
        <f t="shared" si="54"/>
        <v>#REF!</v>
      </c>
      <c r="W41" s="191" t="e">
        <f t="shared" si="54"/>
        <v>#REF!</v>
      </c>
      <c r="X41" s="191" t="e">
        <f t="shared" si="54"/>
        <v>#REF!</v>
      </c>
      <c r="Y41" s="191" t="e">
        <f t="shared" si="54"/>
        <v>#REF!</v>
      </c>
      <c r="Z41" s="191" t="e">
        <f t="shared" si="54"/>
        <v>#REF!</v>
      </c>
      <c r="AA41" s="191" t="e">
        <f t="shared" si="54"/>
        <v>#REF!</v>
      </c>
      <c r="AB41" s="191" t="e">
        <f t="shared" si="54"/>
        <v>#REF!</v>
      </c>
      <c r="AC41" s="191" t="e">
        <f t="shared" si="54"/>
        <v>#REF!</v>
      </c>
      <c r="AD41" s="191" t="e">
        <f t="shared" si="54"/>
        <v>#REF!</v>
      </c>
      <c r="AE41" s="191" t="e">
        <f>SUM(P41:AD41)</f>
        <v>#REF!</v>
      </c>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row>
    <row r="42" spans="1:76" ht="12.75">
      <c r="A42" s="9"/>
      <c r="B42" s="9"/>
      <c r="C42" s="9"/>
      <c r="D42" s="9"/>
      <c r="E42" s="9"/>
      <c r="F42" s="9"/>
      <c r="G42" s="9"/>
      <c r="H42" s="9"/>
      <c r="I42" s="9"/>
      <c r="J42" s="9"/>
      <c r="K42" s="9"/>
      <c r="L42" s="9"/>
      <c r="M42" s="203" t="s">
        <v>236</v>
      </c>
      <c r="N42" s="133"/>
      <c r="O42" s="133"/>
      <c r="P42" s="191" t="e">
        <f>P40+IF(P40=P36,P38,P36)</f>
        <v>#REF!</v>
      </c>
      <c r="Q42" s="191" t="e">
        <f>Q40+IF(Q40=Q36,Q38,Q36)</f>
        <v>#REF!</v>
      </c>
      <c r="R42" s="191" t="e">
        <f aca="true" t="shared" si="55" ref="R42:AD42">R40+IF(R40=R36,R38,R36)</f>
        <v>#REF!</v>
      </c>
      <c r="S42" s="191" t="e">
        <f t="shared" si="55"/>
        <v>#REF!</v>
      </c>
      <c r="T42" s="191" t="e">
        <f t="shared" si="55"/>
        <v>#REF!</v>
      </c>
      <c r="U42" s="191" t="e">
        <f t="shared" si="55"/>
        <v>#REF!</v>
      </c>
      <c r="V42" s="191" t="e">
        <f t="shared" si="55"/>
        <v>#REF!</v>
      </c>
      <c r="W42" s="191" t="e">
        <f t="shared" si="55"/>
        <v>#REF!</v>
      </c>
      <c r="X42" s="191" t="e">
        <f t="shared" si="55"/>
        <v>#REF!</v>
      </c>
      <c r="Y42" s="191" t="e">
        <f t="shared" si="55"/>
        <v>#REF!</v>
      </c>
      <c r="Z42" s="191" t="e">
        <f t="shared" si="55"/>
        <v>#REF!</v>
      </c>
      <c r="AA42" s="191" t="e">
        <f t="shared" si="55"/>
        <v>#REF!</v>
      </c>
      <c r="AB42" s="191" t="e">
        <f t="shared" si="55"/>
        <v>#REF!</v>
      </c>
      <c r="AC42" s="191" t="e">
        <f t="shared" si="55"/>
        <v>#REF!</v>
      </c>
      <c r="AD42" s="191" t="e">
        <f t="shared" si="55"/>
        <v>#REF!</v>
      </c>
      <c r="AE42" s="133"/>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row>
    <row r="43" spans="1:76" ht="12.75">
      <c r="A43" s="9"/>
      <c r="B43" s="9"/>
      <c r="C43" s="9"/>
      <c r="D43" s="9"/>
      <c r="E43" s="9"/>
      <c r="F43" s="9"/>
      <c r="G43" s="9"/>
      <c r="H43" s="9"/>
      <c r="I43" s="9"/>
      <c r="J43" s="9"/>
      <c r="K43" s="9"/>
      <c r="L43" s="9"/>
      <c r="M43" s="203" t="s">
        <v>237</v>
      </c>
      <c r="N43" s="133"/>
      <c r="O43" s="133"/>
      <c r="P43" s="191" t="e">
        <f>MAX(P42,0)</f>
        <v>#REF!</v>
      </c>
      <c r="Q43" s="191" t="e">
        <f aca="true" t="shared" si="56" ref="Q43:AD43">MAX(Q42,0)</f>
        <v>#REF!</v>
      </c>
      <c r="R43" s="191" t="e">
        <f t="shared" si="56"/>
        <v>#REF!</v>
      </c>
      <c r="S43" s="191" t="e">
        <f t="shared" si="56"/>
        <v>#REF!</v>
      </c>
      <c r="T43" s="191" t="e">
        <f t="shared" si="56"/>
        <v>#REF!</v>
      </c>
      <c r="U43" s="191" t="e">
        <f t="shared" si="56"/>
        <v>#REF!</v>
      </c>
      <c r="V43" s="191" t="e">
        <f t="shared" si="56"/>
        <v>#REF!</v>
      </c>
      <c r="W43" s="191" t="e">
        <f t="shared" si="56"/>
        <v>#REF!</v>
      </c>
      <c r="X43" s="191" t="e">
        <f t="shared" si="56"/>
        <v>#REF!</v>
      </c>
      <c r="Y43" s="191" t="e">
        <f t="shared" si="56"/>
        <v>#REF!</v>
      </c>
      <c r="Z43" s="191" t="e">
        <f t="shared" si="56"/>
        <v>#REF!</v>
      </c>
      <c r="AA43" s="191" t="e">
        <f t="shared" si="56"/>
        <v>#REF!</v>
      </c>
      <c r="AB43" s="191" t="e">
        <f t="shared" si="56"/>
        <v>#REF!</v>
      </c>
      <c r="AC43" s="191" t="e">
        <f t="shared" si="56"/>
        <v>#REF!</v>
      </c>
      <c r="AD43" s="191" t="e">
        <f t="shared" si="56"/>
        <v>#REF!</v>
      </c>
      <c r="AE43" s="133"/>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row>
    <row r="44" spans="1:76" ht="12.75">
      <c r="A44" s="9"/>
      <c r="B44" s="9"/>
      <c r="C44" s="9"/>
      <c r="D44" s="9"/>
      <c r="E44" s="9"/>
      <c r="F44" s="9"/>
      <c r="G44" s="9"/>
      <c r="H44" s="9"/>
      <c r="I44" s="9"/>
      <c r="J44" s="9"/>
      <c r="K44" s="9"/>
      <c r="L44" s="9"/>
      <c r="M44" s="203" t="s">
        <v>238</v>
      </c>
      <c r="N44" s="133"/>
      <c r="O44" s="133"/>
      <c r="P44" s="191" t="e">
        <f>MIN(P42,0)</f>
        <v>#REF!</v>
      </c>
      <c r="Q44" s="191" t="e">
        <f aca="true" t="shared" si="57" ref="Q44:AD44">MIN(Q42,0)</f>
        <v>#REF!</v>
      </c>
      <c r="R44" s="191" t="e">
        <f t="shared" si="57"/>
        <v>#REF!</v>
      </c>
      <c r="S44" s="191" t="e">
        <f t="shared" si="57"/>
        <v>#REF!</v>
      </c>
      <c r="T44" s="191" t="e">
        <f t="shared" si="57"/>
        <v>#REF!</v>
      </c>
      <c r="U44" s="191" t="e">
        <f t="shared" si="57"/>
        <v>#REF!</v>
      </c>
      <c r="V44" s="191" t="e">
        <f t="shared" si="57"/>
        <v>#REF!</v>
      </c>
      <c r="W44" s="191" t="e">
        <f t="shared" si="57"/>
        <v>#REF!</v>
      </c>
      <c r="X44" s="191" t="e">
        <f t="shared" si="57"/>
        <v>#REF!</v>
      </c>
      <c r="Y44" s="191" t="e">
        <f t="shared" si="57"/>
        <v>#REF!</v>
      </c>
      <c r="Z44" s="191" t="e">
        <f t="shared" si="57"/>
        <v>#REF!</v>
      </c>
      <c r="AA44" s="191" t="e">
        <f t="shared" si="57"/>
        <v>#REF!</v>
      </c>
      <c r="AB44" s="191" t="e">
        <f t="shared" si="57"/>
        <v>#REF!</v>
      </c>
      <c r="AC44" s="191" t="e">
        <f t="shared" si="57"/>
        <v>#REF!</v>
      </c>
      <c r="AD44" s="191" t="e">
        <f t="shared" si="57"/>
        <v>#REF!</v>
      </c>
      <c r="AE44" s="133"/>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row>
    <row r="45" spans="1:76" ht="12.75">
      <c r="A45" s="9"/>
      <c r="B45" s="9"/>
      <c r="C45" s="9"/>
      <c r="D45" s="9"/>
      <c r="E45" s="9"/>
      <c r="F45" s="9"/>
      <c r="G45" s="9"/>
      <c r="H45" s="9"/>
      <c r="I45" s="9"/>
      <c r="J45" s="9"/>
      <c r="K45" s="9"/>
      <c r="L45" s="9"/>
      <c r="M45" s="133"/>
      <c r="N45" s="133"/>
      <c r="O45" s="133"/>
      <c r="P45" s="133"/>
      <c r="Q45" s="133"/>
      <c r="R45" s="133"/>
      <c r="S45" s="133"/>
      <c r="T45" s="133"/>
      <c r="U45" s="133"/>
      <c r="V45" s="133"/>
      <c r="W45" s="133"/>
      <c r="X45" s="133"/>
      <c r="Y45" s="133"/>
      <c r="Z45" s="133"/>
      <c r="AA45" s="133"/>
      <c r="AB45" s="133"/>
      <c r="AC45" s="133"/>
      <c r="AD45" s="133"/>
      <c r="AE45" s="133"/>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6" ht="12.75">
      <c r="A46" s="9"/>
      <c r="B46" s="9"/>
      <c r="C46" s="9"/>
      <c r="D46" s="9"/>
      <c r="E46" s="9"/>
      <c r="F46" s="9"/>
      <c r="G46" s="9"/>
      <c r="H46" s="9"/>
      <c r="I46" s="9"/>
      <c r="J46" s="9"/>
      <c r="K46" s="9"/>
      <c r="L46" s="9"/>
      <c r="M46" s="133"/>
      <c r="N46" s="133"/>
      <c r="O46" s="133"/>
      <c r="P46" s="183" t="s">
        <v>239</v>
      </c>
      <c r="Q46" s="183" t="s">
        <v>240</v>
      </c>
      <c r="R46" s="183" t="s">
        <v>241</v>
      </c>
      <c r="S46" s="133"/>
      <c r="T46" s="133"/>
      <c r="U46" s="133"/>
      <c r="V46" s="133"/>
      <c r="W46" s="133"/>
      <c r="X46" s="133"/>
      <c r="Y46" s="133"/>
      <c r="Z46" s="133"/>
      <c r="AA46" s="133"/>
      <c r="AB46" s="133"/>
      <c r="AC46" s="133"/>
      <c r="AD46" s="133"/>
      <c r="AE46" s="133"/>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6" ht="12.75">
      <c r="A47" s="9"/>
      <c r="B47" s="9"/>
      <c r="C47" s="9"/>
      <c r="D47" s="9"/>
      <c r="E47" s="9"/>
      <c r="F47" s="9"/>
      <c r="G47" s="9"/>
      <c r="H47" s="9"/>
      <c r="I47" s="9"/>
      <c r="J47" s="9"/>
      <c r="K47" s="9"/>
      <c r="L47" s="9"/>
      <c r="M47" s="751" t="s">
        <v>242</v>
      </c>
      <c r="N47" s="21"/>
      <c r="O47" s="21"/>
      <c r="P47" s="191" t="e">
        <f>SUM(P43:S43)</f>
        <v>#REF!</v>
      </c>
      <c r="Q47" s="191" t="e">
        <f>SUM(T43:V43)</f>
        <v>#REF!</v>
      </c>
      <c r="R47" s="191" t="e">
        <f>SUM(W43:AD43)</f>
        <v>#REF!</v>
      </c>
      <c r="S47" s="133"/>
      <c r="T47" s="133"/>
      <c r="U47" s="133"/>
      <c r="V47" s="133"/>
      <c r="W47" s="133"/>
      <c r="X47" s="133"/>
      <c r="Y47" s="133"/>
      <c r="Z47" s="133"/>
      <c r="AA47" s="133"/>
      <c r="AB47" s="133"/>
      <c r="AC47" s="133"/>
      <c r="AD47" s="133"/>
      <c r="AE47" s="133"/>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6" ht="12.75">
      <c r="A48" s="9"/>
      <c r="B48" s="9"/>
      <c r="C48" s="9"/>
      <c r="D48" s="9"/>
      <c r="E48" s="9"/>
      <c r="F48" s="9"/>
      <c r="G48" s="9"/>
      <c r="H48" s="9"/>
      <c r="I48" s="9"/>
      <c r="J48" s="9"/>
      <c r="K48" s="9"/>
      <c r="L48" s="9"/>
      <c r="M48" s="752" t="s">
        <v>243</v>
      </c>
      <c r="N48" s="204"/>
      <c r="O48" s="204"/>
      <c r="P48" s="133"/>
      <c r="Q48" s="133"/>
      <c r="R48" s="133"/>
      <c r="S48" s="133"/>
      <c r="T48" s="133"/>
      <c r="U48" s="133"/>
      <c r="V48" s="133"/>
      <c r="W48" s="133"/>
      <c r="X48" s="133"/>
      <c r="Y48" s="133"/>
      <c r="Z48" s="133"/>
      <c r="AA48" s="133"/>
      <c r="AB48" s="133"/>
      <c r="AC48" s="133"/>
      <c r="AD48" s="133"/>
      <c r="AE48" s="133"/>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row>
    <row r="49" spans="1:76" ht="12.75">
      <c r="A49" s="9"/>
      <c r="B49" s="9"/>
      <c r="C49" s="9"/>
      <c r="D49" s="9"/>
      <c r="E49" s="9"/>
      <c r="F49" s="9"/>
      <c r="G49" s="9"/>
      <c r="H49" s="9"/>
      <c r="I49" s="9"/>
      <c r="J49" s="9"/>
      <c r="K49" s="9"/>
      <c r="L49" s="9"/>
      <c r="M49" s="751" t="s">
        <v>242</v>
      </c>
      <c r="N49" s="21"/>
      <c r="O49" s="21"/>
      <c r="P49" s="191" t="e">
        <f>SUM(P44:S44)</f>
        <v>#REF!</v>
      </c>
      <c r="Q49" s="191" t="e">
        <f>SUM(T44:V44)</f>
        <v>#REF!</v>
      </c>
      <c r="R49" s="191" t="e">
        <f>SUM(W44:AD44)</f>
        <v>#REF!</v>
      </c>
      <c r="S49" s="133"/>
      <c r="T49" s="133"/>
      <c r="U49" s="133"/>
      <c r="V49" s="133"/>
      <c r="W49" s="133"/>
      <c r="X49" s="133"/>
      <c r="Y49" s="133"/>
      <c r="Z49" s="133"/>
      <c r="AA49" s="133"/>
      <c r="AB49" s="133"/>
      <c r="AC49" s="133"/>
      <c r="AD49" s="133"/>
      <c r="AE49" s="133"/>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row>
    <row r="50" spans="1:76" ht="12.75">
      <c r="A50" s="9"/>
      <c r="B50" s="9"/>
      <c r="C50" s="9"/>
      <c r="D50" s="9"/>
      <c r="E50" s="9"/>
      <c r="F50" s="9"/>
      <c r="G50" s="9"/>
      <c r="H50" s="9"/>
      <c r="I50" s="9"/>
      <c r="J50" s="9"/>
      <c r="K50" s="9"/>
      <c r="L50" s="9"/>
      <c r="M50" s="752" t="s">
        <v>244</v>
      </c>
      <c r="N50" s="204"/>
      <c r="O50" s="204"/>
      <c r="P50" s="133"/>
      <c r="Q50" s="133"/>
      <c r="R50" s="133"/>
      <c r="S50" s="133"/>
      <c r="T50" s="133"/>
      <c r="U50" s="133"/>
      <c r="V50" s="133"/>
      <c r="W50" s="133"/>
      <c r="X50" s="133"/>
      <c r="Y50" s="133"/>
      <c r="Z50" s="133"/>
      <c r="AA50" s="133"/>
      <c r="AB50" s="133"/>
      <c r="AC50" s="133"/>
      <c r="AD50" s="133"/>
      <c r="AE50" s="133"/>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row>
    <row r="51" spans="1:76"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row>
    <row r="52" spans="1:76"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row>
    <row r="53" spans="1:76"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row>
    <row r="54" spans="1:76"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row>
    <row r="55" spans="1:76"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row>
    <row r="56" spans="1:76"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row>
    <row r="57" spans="1:76"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row>
    <row r="58" spans="40:54" ht="12.75">
      <c r="AN58" s="9"/>
      <c r="AO58" s="9"/>
      <c r="AP58" s="9"/>
      <c r="AQ58" s="9"/>
      <c r="AR58" s="9"/>
      <c r="AS58" s="9"/>
      <c r="AT58" s="9"/>
      <c r="AU58" s="9"/>
      <c r="AV58" s="9"/>
      <c r="AW58" s="9"/>
      <c r="AX58" s="9"/>
      <c r="AY58" s="9"/>
      <c r="AZ58" s="9"/>
      <c r="BA58" s="9"/>
      <c r="BB58" s="9"/>
    </row>
    <row r="59" spans="40:54" ht="12.75">
      <c r="AN59" s="9"/>
      <c r="AO59" s="9"/>
      <c r="AP59" s="9"/>
      <c r="AQ59" s="9"/>
      <c r="AR59" s="9"/>
      <c r="AS59" s="9"/>
      <c r="AT59" s="9"/>
      <c r="AU59" s="9"/>
      <c r="AV59" s="9"/>
      <c r="AW59" s="9"/>
      <c r="AX59" s="9"/>
      <c r="AY59" s="9"/>
      <c r="AZ59" s="9"/>
      <c r="BA59" s="9"/>
      <c r="BB59" s="9"/>
    </row>
    <row r="60" spans="40:54" ht="12.75">
      <c r="AN60" s="9"/>
      <c r="AO60" s="9"/>
      <c r="AP60" s="9"/>
      <c r="AQ60" s="9"/>
      <c r="AR60" s="9"/>
      <c r="AS60" s="9"/>
      <c r="AT60" s="9"/>
      <c r="AU60" s="9"/>
      <c r="AV60" s="9"/>
      <c r="AW60" s="9"/>
      <c r="AX60" s="9"/>
      <c r="AY60" s="9"/>
      <c r="AZ60" s="9"/>
      <c r="BA60" s="9"/>
      <c r="BB60" s="9"/>
    </row>
    <row r="61" spans="40:54" ht="12.75">
      <c r="AN61" s="9"/>
      <c r="AO61" s="9"/>
      <c r="AP61" s="9"/>
      <c r="AQ61" s="9"/>
      <c r="AR61" s="9"/>
      <c r="AS61" s="9"/>
      <c r="AT61" s="9"/>
      <c r="AU61" s="9"/>
      <c r="AV61" s="9"/>
      <c r="AW61" s="9"/>
      <c r="AX61" s="9"/>
      <c r="AY61" s="9"/>
      <c r="AZ61" s="9"/>
      <c r="BA61" s="9"/>
      <c r="BB61" s="9"/>
    </row>
    <row r="62" spans="40:54" ht="12.75">
      <c r="AN62" s="9"/>
      <c r="AO62" s="9"/>
      <c r="AP62" s="9"/>
      <c r="AQ62" s="9"/>
      <c r="AR62" s="9"/>
      <c r="AS62" s="9"/>
      <c r="AT62" s="9"/>
      <c r="AU62" s="9"/>
      <c r="AV62" s="9"/>
      <c r="AW62" s="9"/>
      <c r="AX62" s="9"/>
      <c r="AY62" s="9"/>
      <c r="AZ62" s="9"/>
      <c r="BA62" s="9"/>
      <c r="BB62" s="9"/>
    </row>
    <row r="63" spans="40:54" ht="12.75">
      <c r="AN63" s="9"/>
      <c r="AO63" s="9"/>
      <c r="AP63" s="9"/>
      <c r="AQ63" s="9"/>
      <c r="AR63" s="9"/>
      <c r="AS63" s="9"/>
      <c r="AT63" s="9"/>
      <c r="AU63" s="9"/>
      <c r="AV63" s="9"/>
      <c r="AW63" s="9"/>
      <c r="AX63" s="9"/>
      <c r="AY63" s="9"/>
      <c r="AZ63" s="9"/>
      <c r="BA63" s="9"/>
      <c r="BB63" s="9"/>
    </row>
  </sheetData>
  <sheetProtection password="83AF" sheet="1" objects="1" scenarios="1"/>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capadeq</dc:title>
  <dc:subject/>
  <dc:creator>SAFEX</dc:creator>
  <cp:keywords/>
  <dc:description/>
  <cp:lastModifiedBy>DeniseB</cp:lastModifiedBy>
  <cp:lastPrinted>2005-02-11T10:44:08Z</cp:lastPrinted>
  <dcterms:created xsi:type="dcterms:W3CDTF">1997-05-14T13:36:58Z</dcterms:created>
  <dcterms:modified xsi:type="dcterms:W3CDTF">2005-02-11T10:45:03Z</dcterms:modified>
  <cp:category/>
  <cp:version/>
  <cp:contentType/>
  <cp:contentStatus/>
</cp:coreProperties>
</file>