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'Jerry'!$A$1:$H$461</definedName>
  </definedNames>
  <calcPr fullCalcOnLoad="1"/>
</workbook>
</file>

<file path=xl/sharedStrings.xml><?xml version="1.0" encoding="utf-8"?>
<sst xmlns="http://schemas.openxmlformats.org/spreadsheetml/2006/main" count="104" uniqueCount="104">
  <si>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</si>
  <si>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</si>
  <si>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</si>
  <si>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</si>
  <si>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</si>
  <si>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</si>
  <si>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</si>
  <si>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</si>
  <si>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</si>
  <si>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</si>
  <si>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</si>
  <si>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</si>
  <si>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</si>
  <si>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</si>
  <si>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</si>
  <si>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</si>
  <si>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</si>
  <si>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</si>
  <si>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</si>
  <si>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</si>
  <si>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</si>
  <si>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</si>
  <si>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</si>
  <si>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</si>
  <si>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</si>
  <si>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</si>
  <si>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</si>
  <si>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</si>
  <si>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</si>
  <si>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</si>
  <si>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</si>
  <si>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</si>
  <si>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</si>
  <si>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</si>
  <si>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</si>
  <si>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</si>
  <si>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</si>
  <si>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</si>
  <si>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</si>
  <si>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</si>
  <si>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</si>
  <si>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</si>
  <si>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</si>
  <si>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</si>
  <si>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</si>
  <si>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</si>
  <si>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</si>
  <si>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</si>
  <si>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</si>
  <si>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</si>
  <si>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</si>
  <si>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</si>
  <si>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</si>
  <si>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</si>
  <si>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</si>
  <si>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</si>
  <si>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</si>
  <si>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</si>
  <si>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</si>
  <si>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</si>
  <si>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</si>
  <si>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</si>
  <si>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</si>
  <si>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</si>
  <si>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</si>
  <si>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</si>
  <si>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</si>
  <si>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</si>
  <si>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</si>
  <si>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</si>
  <si>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</si>
  <si>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</si>
  <si>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</si>
  <si>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</si>
  <si>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</si>
  <si>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</si>
  <si>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</si>
  <si>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</si>
  <si>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</si>
  <si>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</si>
  <si>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</si>
  <si>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</si>
  <si>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</si>
  <si>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</si>
  <si>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</si>
  <si>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</si>
  <si>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</si>
  <si>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</si>
  <si>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</si>
  <si>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</si>
  <si>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</si>
  <si>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</si>
  <si>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</si>
  <si>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</si>
  <si>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1Y Stnd 7.75% Jun 2016-2017 (IS01)</t>
  </si>
  <si>
    <t>2Y Stnd 7.25% Dec 2015-2017 (IS02)</t>
  </si>
  <si>
    <t>2Y Stnd 7.75% Mar 2016-2018 (IS02)</t>
  </si>
  <si>
    <t>2Y Stnd 8% Jun 2016-2018 (IS02)</t>
  </si>
  <si>
    <t>5Y Stnd 8% Dec 2015-2020 (IS05)</t>
  </si>
  <si>
    <t>5Y Stnd 8.25% Mar 2016-2021 (IS05)</t>
  </si>
  <si>
    <t>5Y Stnd 8.5% Jun 2016-2021 (IS05)</t>
  </si>
  <si>
    <t>10Y Stnd 8.25% Dec 2015-2025 (IS10)</t>
  </si>
  <si>
    <t>10Y Stnd 8.75% Mar 2016-2026 (IS10)</t>
  </si>
  <si>
    <t>10Y Stnd 9% Jun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</si>
</sst>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SheetLayoutView="75" zoomScalePageLayoutView="0" workbookViewId="0" topLeftCell="A1">
      <selection activeCell="A2" sqref="A2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42524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ROUND(1.8,5)</f>
        <v>1.8</v>
      </c>
      <c r="D6" s="25">
        <f>F6</f>
        <v>1.8</v>
      </c>
      <c r="E6" s="25">
        <f>F6</f>
        <v>1.8</v>
      </c>
      <c r="F6" s="25">
        <f>ROUND(1.8,5)</f>
        <v>1.8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ROUND(1.88,5)</f>
        <v>1.88</v>
      </c>
      <c r="D8" s="25">
        <f>F8</f>
        <v>1.88</v>
      </c>
      <c r="E8" s="25">
        <f>F8</f>
        <v>1.88</v>
      </c>
      <c r="F8" s="25">
        <f>ROUND(1.88,5)</f>
        <v>1.88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ROUND(1.935,5)</f>
        <v>1.935</v>
      </c>
      <c r="D10" s="25">
        <f>F10</f>
        <v>1.935</v>
      </c>
      <c r="E10" s="25">
        <f>F10</f>
        <v>1.935</v>
      </c>
      <c r="F10" s="25">
        <f>ROUND(1.935,5)</f>
        <v>1.935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ROUND(2.255,5)</f>
        <v>2.255</v>
      </c>
      <c r="D12" s="25">
        <f>F12</f>
        <v>2.255</v>
      </c>
      <c r="E12" s="25">
        <f>F12</f>
        <v>2.255</v>
      </c>
      <c r="F12" s="25">
        <f>ROUND(2.255,5)</f>
        <v>2.255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ROUND(10.625,5)</f>
        <v>10.625</v>
      </c>
      <c r="D14" s="25">
        <f>F14</f>
        <v>10.625</v>
      </c>
      <c r="E14" s="25">
        <f>F14</f>
        <v>10.625</v>
      </c>
      <c r="F14" s="25">
        <f>ROUND(10.625,5)</f>
        <v>10.625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ROUND(8.99,5)</f>
        <v>8.99</v>
      </c>
      <c r="D16" s="25">
        <f>F16</f>
        <v>8.99</v>
      </c>
      <c r="E16" s="25">
        <f>F16</f>
        <v>8.99</v>
      </c>
      <c r="F16" s="25">
        <f>ROUND(8.99,5)</f>
        <v>8.99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ROUND(9.19,3)</f>
        <v>9.19</v>
      </c>
      <c r="D18" s="27">
        <f>F18</f>
        <v>9.19</v>
      </c>
      <c r="E18" s="27">
        <f>F18</f>
        <v>9.19</v>
      </c>
      <c r="F18" s="27">
        <f>ROUND(9.19,3)</f>
        <v>9.19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ROUND(1.74,3)</f>
        <v>1.74</v>
      </c>
      <c r="D20" s="27">
        <f>F20</f>
        <v>1.74</v>
      </c>
      <c r="E20" s="27">
        <f>F20</f>
        <v>1.74</v>
      </c>
      <c r="F20" s="27">
        <f>ROUND(1.74,3)</f>
        <v>1.74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ROUND(1.88,3)</f>
        <v>1.88</v>
      </c>
      <c r="D22" s="27">
        <f>F22</f>
        <v>1.88</v>
      </c>
      <c r="E22" s="27">
        <f>F22</f>
        <v>1.88</v>
      </c>
      <c r="F22" s="27">
        <f>ROUND(1.88,3)</f>
        <v>1.88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ROUND(7.875,3)</f>
        <v>7.875</v>
      </c>
      <c r="D24" s="27">
        <f>F24</f>
        <v>7.875</v>
      </c>
      <c r="E24" s="27">
        <f>F24</f>
        <v>7.875</v>
      </c>
      <c r="F24" s="27">
        <f>ROUND(7.875,3)</f>
        <v>7.875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ROUND(8.285,3)</f>
        <v>8.285</v>
      </c>
      <c r="D26" s="27">
        <f>F26</f>
        <v>8.285</v>
      </c>
      <c r="E26" s="27">
        <f>F26</f>
        <v>8.285</v>
      </c>
      <c r="F26" s="27">
        <f>ROUND(8.285,3)</f>
        <v>8.285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ROUND(8.58,3)</f>
        <v>8.58</v>
      </c>
      <c r="D28" s="27">
        <f>F28</f>
        <v>8.58</v>
      </c>
      <c r="E28" s="27">
        <f>F28</f>
        <v>8.58</v>
      </c>
      <c r="F28" s="27">
        <f>ROUND(8.58,3)</f>
        <v>8.58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ROUND(8.735,3)</f>
        <v>8.735</v>
      </c>
      <c r="D30" s="27">
        <f>F30</f>
        <v>8.735</v>
      </c>
      <c r="E30" s="27">
        <f>F30</f>
        <v>8.735</v>
      </c>
      <c r="F30" s="27">
        <f>ROUND(8.735,3)</f>
        <v>8.735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ROUND(9.655,3)</f>
        <v>9.655</v>
      </c>
      <c r="D32" s="27">
        <f>F32</f>
        <v>9.655</v>
      </c>
      <c r="E32" s="27">
        <f>F32</f>
        <v>9.655</v>
      </c>
      <c r="F32" s="27">
        <f>ROUND(9.655,3)</f>
        <v>9.655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ROUND(1.78,3)</f>
        <v>1.78</v>
      </c>
      <c r="D34" s="27">
        <f>F34</f>
        <v>1.78</v>
      </c>
      <c r="E34" s="27">
        <f>F34</f>
        <v>1.78</v>
      </c>
      <c r="F34" s="27">
        <f>ROUND(1.78,3)</f>
        <v>1.78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5">
        <f>ROUND(0.75,5)</f>
        <v>0.75</v>
      </c>
      <c r="D36" s="25">
        <f>F36</f>
        <v>0.75</v>
      </c>
      <c r="E36" s="25">
        <f>F36</f>
        <v>0.75</v>
      </c>
      <c r="F36" s="25">
        <f>ROUND(0.75,5)</f>
        <v>0.75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44592</v>
      </c>
      <c r="B38" s="22"/>
      <c r="C38" s="27">
        <f>ROUND(1.685,3)</f>
        <v>1.685</v>
      </c>
      <c r="D38" s="27">
        <f>F38</f>
        <v>1.685</v>
      </c>
      <c r="E38" s="27">
        <f>F38</f>
        <v>1.685</v>
      </c>
      <c r="F38" s="27">
        <f>ROUND(1.685,3)</f>
        <v>1.685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ROUND(9.58,3)</f>
        <v>9.58</v>
      </c>
      <c r="D40" s="27">
        <f>F40</f>
        <v>9.58</v>
      </c>
      <c r="E40" s="27">
        <f>F40</f>
        <v>9.58</v>
      </c>
      <c r="F40" s="27">
        <f>ROUND(9.58,3)</f>
        <v>9.58</v>
      </c>
      <c r="G40" s="24"/>
      <c r="H40" s="36"/>
    </row>
    <row r="41" spans="1:8" ht="12.75" customHeight="1">
      <c r="A41" s="22" t="s">
        <v>30</v>
      </c>
      <c r="B41" s="22"/>
      <c r="C41" s="26"/>
      <c r="D41" s="26"/>
      <c r="E41" s="26"/>
      <c r="F41" s="26"/>
      <c r="G41" s="24"/>
      <c r="H41" s="36"/>
    </row>
    <row r="42" spans="1:8" ht="12.75" customHeight="1">
      <c r="A42" s="22">
        <v>42586</v>
      </c>
      <c r="B42" s="22"/>
      <c r="C42" s="25">
        <f>ROUND(1.8,5)</f>
        <v>1.8</v>
      </c>
      <c r="D42" s="25">
        <f>F42</f>
        <v>126.6897</v>
      </c>
      <c r="E42" s="25">
        <f>F42</f>
        <v>126.6897</v>
      </c>
      <c r="F42" s="25">
        <f>ROUND(126.6897,5)</f>
        <v>126.6897</v>
      </c>
      <c r="G42" s="24"/>
      <c r="H42" s="36"/>
    </row>
    <row r="43" spans="1:8" ht="12.75" customHeight="1">
      <c r="A43" s="22">
        <v>42677</v>
      </c>
      <c r="B43" s="22"/>
      <c r="C43" s="25">
        <f>ROUND(1.8,5)</f>
        <v>1.8</v>
      </c>
      <c r="D43" s="25">
        <f>F43</f>
        <v>129.10883</v>
      </c>
      <c r="E43" s="25">
        <f>F43</f>
        <v>129.10883</v>
      </c>
      <c r="F43" s="25">
        <f>ROUND(129.10883,5)</f>
        <v>129.10883</v>
      </c>
      <c r="G43" s="24"/>
      <c r="H43" s="36"/>
    </row>
    <row r="44" spans="1:8" ht="12.75" customHeight="1">
      <c r="A44" s="22">
        <v>42768</v>
      </c>
      <c r="B44" s="22"/>
      <c r="C44" s="25">
        <f>ROUND(1.8,5)</f>
        <v>1.8</v>
      </c>
      <c r="D44" s="25">
        <f>F44</f>
        <v>130.42283</v>
      </c>
      <c r="E44" s="25">
        <f>F44</f>
        <v>130.42283</v>
      </c>
      <c r="F44" s="25">
        <f>ROUND(130.42283,5)</f>
        <v>130.42283</v>
      </c>
      <c r="G44" s="24"/>
      <c r="H44" s="36"/>
    </row>
    <row r="45" spans="1:8" ht="12.75" customHeight="1">
      <c r="A45" s="22">
        <v>42859</v>
      </c>
      <c r="B45" s="22"/>
      <c r="C45" s="25">
        <f>ROUND(1.8,5)</f>
        <v>1.8</v>
      </c>
      <c r="D45" s="25">
        <f>F45</f>
        <v>133.20701</v>
      </c>
      <c r="E45" s="25">
        <f>F45</f>
        <v>133.20701</v>
      </c>
      <c r="F45" s="25">
        <f>ROUND(133.20701,5)</f>
        <v>133.20701</v>
      </c>
      <c r="G45" s="24"/>
      <c r="H45" s="36"/>
    </row>
    <row r="46" spans="1:8" ht="12.75" customHeight="1">
      <c r="A46" s="22">
        <v>42950</v>
      </c>
      <c r="B46" s="22"/>
      <c r="C46" s="25">
        <f>ROUND(1.8,5)</f>
        <v>1.8</v>
      </c>
      <c r="D46" s="25">
        <f>F46</f>
        <v>135.85908</v>
      </c>
      <c r="E46" s="25">
        <f>F46</f>
        <v>135.85908</v>
      </c>
      <c r="F46" s="25">
        <f>ROUND(135.85908,5)</f>
        <v>135.85908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42586</v>
      </c>
      <c r="B48" s="22"/>
      <c r="C48" s="25">
        <f>ROUND(9.55,5)</f>
        <v>9.55</v>
      </c>
      <c r="D48" s="25">
        <f>F48</f>
        <v>9.59353</v>
      </c>
      <c r="E48" s="25">
        <f>F48</f>
        <v>9.59353</v>
      </c>
      <c r="F48" s="25">
        <f>ROUND(9.59353,5)</f>
        <v>9.59353</v>
      </c>
      <c r="G48" s="24"/>
      <c r="H48" s="36"/>
    </row>
    <row r="49" spans="1:8" ht="12.75" customHeight="1">
      <c r="A49" s="22">
        <v>42677</v>
      </c>
      <c r="B49" s="22"/>
      <c r="C49" s="25">
        <f>ROUND(9.55,5)</f>
        <v>9.55</v>
      </c>
      <c r="D49" s="25">
        <f>F49</f>
        <v>9.6479</v>
      </c>
      <c r="E49" s="25">
        <f>F49</f>
        <v>9.6479</v>
      </c>
      <c r="F49" s="25">
        <f>ROUND(9.6479,5)</f>
        <v>9.6479</v>
      </c>
      <c r="G49" s="24"/>
      <c r="H49" s="36"/>
    </row>
    <row r="50" spans="1:8" ht="12.75" customHeight="1">
      <c r="A50" s="22">
        <v>42768</v>
      </c>
      <c r="B50" s="22"/>
      <c r="C50" s="25">
        <f>ROUND(9.55,5)</f>
        <v>9.55</v>
      </c>
      <c r="D50" s="25">
        <f>F50</f>
        <v>9.69513</v>
      </c>
      <c r="E50" s="25">
        <f>F50</f>
        <v>9.69513</v>
      </c>
      <c r="F50" s="25">
        <f>ROUND(9.69513,5)</f>
        <v>9.69513</v>
      </c>
      <c r="G50" s="24"/>
      <c r="H50" s="36"/>
    </row>
    <row r="51" spans="1:8" ht="12.75" customHeight="1">
      <c r="A51" s="22">
        <v>42859</v>
      </c>
      <c r="B51" s="22"/>
      <c r="C51" s="25">
        <f>ROUND(9.55,5)</f>
        <v>9.55</v>
      </c>
      <c r="D51" s="25">
        <f>F51</f>
        <v>9.7321</v>
      </c>
      <c r="E51" s="25">
        <f>F51</f>
        <v>9.7321</v>
      </c>
      <c r="F51" s="25">
        <f>ROUND(9.7321,5)</f>
        <v>9.7321</v>
      </c>
      <c r="G51" s="24"/>
      <c r="H51" s="36"/>
    </row>
    <row r="52" spans="1:8" ht="12.75" customHeight="1">
      <c r="A52" s="22">
        <v>42950</v>
      </c>
      <c r="B52" s="22"/>
      <c r="C52" s="25">
        <f>ROUND(9.55,5)</f>
        <v>9.55</v>
      </c>
      <c r="D52" s="25">
        <f>F52</f>
        <v>9.79168</v>
      </c>
      <c r="E52" s="25">
        <f>F52</f>
        <v>9.79168</v>
      </c>
      <c r="F52" s="25">
        <f>ROUND(9.79168,5)</f>
        <v>9.79168</v>
      </c>
      <c r="G52" s="24"/>
      <c r="H52" s="36"/>
    </row>
    <row r="53" spans="1:8" ht="12.75" customHeight="1">
      <c r="A53" s="22" t="s">
        <v>32</v>
      </c>
      <c r="B53" s="22"/>
      <c r="C53" s="26"/>
      <c r="D53" s="26"/>
      <c r="E53" s="26"/>
      <c r="F53" s="26"/>
      <c r="G53" s="24"/>
      <c r="H53" s="36"/>
    </row>
    <row r="54" spans="1:8" ht="12.75" customHeight="1">
      <c r="A54" s="22">
        <v>42586</v>
      </c>
      <c r="B54" s="22"/>
      <c r="C54" s="25">
        <f>ROUND(9.66,5)</f>
        <v>9.66</v>
      </c>
      <c r="D54" s="25">
        <f>F54</f>
        <v>9.70223</v>
      </c>
      <c r="E54" s="25">
        <f>F54</f>
        <v>9.70223</v>
      </c>
      <c r="F54" s="25">
        <f>ROUND(9.70223,5)</f>
        <v>9.70223</v>
      </c>
      <c r="G54" s="24"/>
      <c r="H54" s="36"/>
    </row>
    <row r="55" spans="1:8" ht="12.75" customHeight="1">
      <c r="A55" s="22">
        <v>42677</v>
      </c>
      <c r="B55" s="22"/>
      <c r="C55" s="25">
        <f>ROUND(9.66,5)</f>
        <v>9.66</v>
      </c>
      <c r="D55" s="25">
        <f>F55</f>
        <v>9.75955</v>
      </c>
      <c r="E55" s="25">
        <f>F55</f>
        <v>9.75955</v>
      </c>
      <c r="F55" s="25">
        <f>ROUND(9.75955,5)</f>
        <v>9.75955</v>
      </c>
      <c r="G55" s="24"/>
      <c r="H55" s="36"/>
    </row>
    <row r="56" spans="1:8" ht="12.75" customHeight="1">
      <c r="A56" s="22">
        <v>42768</v>
      </c>
      <c r="B56" s="22"/>
      <c r="C56" s="25">
        <f>ROUND(9.66,5)</f>
        <v>9.66</v>
      </c>
      <c r="D56" s="25">
        <f>F56</f>
        <v>9.80966</v>
      </c>
      <c r="E56" s="25">
        <f>F56</f>
        <v>9.80966</v>
      </c>
      <c r="F56" s="25">
        <f>ROUND(9.80966,5)</f>
        <v>9.80966</v>
      </c>
      <c r="G56" s="24"/>
      <c r="H56" s="36"/>
    </row>
    <row r="57" spans="1:8" ht="12.75" customHeight="1">
      <c r="A57" s="22">
        <v>42859</v>
      </c>
      <c r="B57" s="22"/>
      <c r="C57" s="25">
        <f>ROUND(9.66,5)</f>
        <v>9.66</v>
      </c>
      <c r="D57" s="25">
        <f>F57</f>
        <v>9.84601</v>
      </c>
      <c r="E57" s="25">
        <f>F57</f>
        <v>9.84601</v>
      </c>
      <c r="F57" s="25">
        <f>ROUND(9.84601,5)</f>
        <v>9.84601</v>
      </c>
      <c r="G57" s="24"/>
      <c r="H57" s="36"/>
    </row>
    <row r="58" spans="1:8" ht="12.75" customHeight="1">
      <c r="A58" s="22">
        <v>42950</v>
      </c>
      <c r="B58" s="22"/>
      <c r="C58" s="25">
        <f>ROUND(9.66,5)</f>
        <v>9.66</v>
      </c>
      <c r="D58" s="25">
        <f>F58</f>
        <v>9.90179</v>
      </c>
      <c r="E58" s="25">
        <f>F58</f>
        <v>9.90179</v>
      </c>
      <c r="F58" s="25">
        <f>ROUND(9.90179,5)</f>
        <v>9.90179</v>
      </c>
      <c r="G58" s="24"/>
      <c r="H58" s="36"/>
    </row>
    <row r="59" spans="1:8" ht="12.75" customHeight="1">
      <c r="A59" s="22" t="s">
        <v>33</v>
      </c>
      <c r="B59" s="22"/>
      <c r="C59" s="26"/>
      <c r="D59" s="26"/>
      <c r="E59" s="26"/>
      <c r="F59" s="26"/>
      <c r="G59" s="24"/>
      <c r="H59" s="36"/>
    </row>
    <row r="60" spans="1:8" ht="12.75" customHeight="1">
      <c r="A60" s="22">
        <v>42586</v>
      </c>
      <c r="B60" s="22"/>
      <c r="C60" s="25">
        <f>ROUND(105.40929,5)</f>
        <v>105.40929</v>
      </c>
      <c r="D60" s="25">
        <f>F60</f>
        <v>106.78078</v>
      </c>
      <c r="E60" s="25">
        <f>F60</f>
        <v>106.78078</v>
      </c>
      <c r="F60" s="25">
        <f>ROUND(106.78078,5)</f>
        <v>106.78078</v>
      </c>
      <c r="G60" s="24"/>
      <c r="H60" s="36"/>
    </row>
    <row r="61" spans="1:8" ht="12.75" customHeight="1">
      <c r="A61" s="22">
        <v>42677</v>
      </c>
      <c r="B61" s="22"/>
      <c r="C61" s="25">
        <f>ROUND(105.40929,5)</f>
        <v>105.40929</v>
      </c>
      <c r="D61" s="25">
        <f>F61</f>
        <v>107.80045</v>
      </c>
      <c r="E61" s="25">
        <f>F61</f>
        <v>107.80045</v>
      </c>
      <c r="F61" s="25">
        <f>ROUND(107.80045,5)</f>
        <v>107.80045</v>
      </c>
      <c r="G61" s="24"/>
      <c r="H61" s="36"/>
    </row>
    <row r="62" spans="1:8" ht="12.75" customHeight="1">
      <c r="A62" s="22">
        <v>42768</v>
      </c>
      <c r="B62" s="22"/>
      <c r="C62" s="25">
        <f>ROUND(105.40929,5)</f>
        <v>105.40929</v>
      </c>
      <c r="D62" s="25">
        <f>F62</f>
        <v>109.97426</v>
      </c>
      <c r="E62" s="25">
        <f>F62</f>
        <v>109.97426</v>
      </c>
      <c r="F62" s="25">
        <f>ROUND(109.97426,5)</f>
        <v>109.97426</v>
      </c>
      <c r="G62" s="24"/>
      <c r="H62" s="36"/>
    </row>
    <row r="63" spans="1:8" ht="12.75" customHeight="1">
      <c r="A63" s="22">
        <v>42859</v>
      </c>
      <c r="B63" s="22"/>
      <c r="C63" s="25">
        <f>ROUND(105.40929,5)</f>
        <v>105.40929</v>
      </c>
      <c r="D63" s="25">
        <f>F63</f>
        <v>111.27521</v>
      </c>
      <c r="E63" s="25">
        <f>F63</f>
        <v>111.27521</v>
      </c>
      <c r="F63" s="25">
        <f>ROUND(111.27521,5)</f>
        <v>111.27521</v>
      </c>
      <c r="G63" s="24"/>
      <c r="H63" s="36"/>
    </row>
    <row r="64" spans="1:8" ht="12.75" customHeight="1">
      <c r="A64" s="22">
        <v>42950</v>
      </c>
      <c r="B64" s="22"/>
      <c r="C64" s="25">
        <f>ROUND(105.40929,5)</f>
        <v>105.40929</v>
      </c>
      <c r="D64" s="25">
        <f>F64</f>
        <v>113.49051</v>
      </c>
      <c r="E64" s="25">
        <f>F64</f>
        <v>113.49051</v>
      </c>
      <c r="F64" s="25">
        <f>ROUND(113.49051,5)</f>
        <v>113.49051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42586</v>
      </c>
      <c r="B66" s="22"/>
      <c r="C66" s="25">
        <f>ROUND(9.765,5)</f>
        <v>9.765</v>
      </c>
      <c r="D66" s="25">
        <f>F66</f>
        <v>9.80677</v>
      </c>
      <c r="E66" s="25">
        <f>F66</f>
        <v>9.80677</v>
      </c>
      <c r="F66" s="25">
        <f>ROUND(9.80677,5)</f>
        <v>9.80677</v>
      </c>
      <c r="G66" s="24"/>
      <c r="H66" s="36"/>
    </row>
    <row r="67" spans="1:8" ht="12.75" customHeight="1">
      <c r="A67" s="22">
        <v>42677</v>
      </c>
      <c r="B67" s="22"/>
      <c r="C67" s="25">
        <f>ROUND(9.765,5)</f>
        <v>9.765</v>
      </c>
      <c r="D67" s="25">
        <f>F67</f>
        <v>9.85925</v>
      </c>
      <c r="E67" s="25">
        <f>F67</f>
        <v>9.85925</v>
      </c>
      <c r="F67" s="25">
        <f>ROUND(9.85925,5)</f>
        <v>9.85925</v>
      </c>
      <c r="G67" s="24"/>
      <c r="H67" s="36"/>
    </row>
    <row r="68" spans="1:8" ht="12.75" customHeight="1">
      <c r="A68" s="22">
        <v>42768</v>
      </c>
      <c r="B68" s="22"/>
      <c r="C68" s="25">
        <f>ROUND(9.765,5)</f>
        <v>9.765</v>
      </c>
      <c r="D68" s="25">
        <f>F68</f>
        <v>9.9056</v>
      </c>
      <c r="E68" s="25">
        <f>F68</f>
        <v>9.9056</v>
      </c>
      <c r="F68" s="25">
        <f>ROUND(9.9056,5)</f>
        <v>9.9056</v>
      </c>
      <c r="G68" s="24"/>
      <c r="H68" s="36"/>
    </row>
    <row r="69" spans="1:8" ht="12.75" customHeight="1">
      <c r="A69" s="22">
        <v>42859</v>
      </c>
      <c r="B69" s="22"/>
      <c r="C69" s="25">
        <f>ROUND(9.765,5)</f>
        <v>9.765</v>
      </c>
      <c r="D69" s="25">
        <f>F69</f>
        <v>9.94292</v>
      </c>
      <c r="E69" s="25">
        <f>F69</f>
        <v>9.94292</v>
      </c>
      <c r="F69" s="25">
        <f>ROUND(9.94292,5)</f>
        <v>9.94292</v>
      </c>
      <c r="G69" s="24"/>
      <c r="H69" s="36"/>
    </row>
    <row r="70" spans="1:8" ht="12.75" customHeight="1">
      <c r="A70" s="22">
        <v>42950</v>
      </c>
      <c r="B70" s="22"/>
      <c r="C70" s="25">
        <f>ROUND(9.765,5)</f>
        <v>9.765</v>
      </c>
      <c r="D70" s="25">
        <f>F70</f>
        <v>9.9995</v>
      </c>
      <c r="E70" s="25">
        <f>F70</f>
        <v>9.9995</v>
      </c>
      <c r="F70" s="25">
        <f>ROUND(9.9995,5)</f>
        <v>9.9995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42586</v>
      </c>
      <c r="B72" s="22"/>
      <c r="C72" s="25">
        <f>ROUND(1.88,5)</f>
        <v>1.88</v>
      </c>
      <c r="D72" s="25">
        <f>F72</f>
        <v>132.84672</v>
      </c>
      <c r="E72" s="25">
        <f>F72</f>
        <v>132.84672</v>
      </c>
      <c r="F72" s="25">
        <f>ROUND(132.84672,5)</f>
        <v>132.84672</v>
      </c>
      <c r="G72" s="24"/>
      <c r="H72" s="36"/>
    </row>
    <row r="73" spans="1:8" ht="12.75" customHeight="1">
      <c r="A73" s="22">
        <v>42677</v>
      </c>
      <c r="B73" s="22"/>
      <c r="C73" s="25">
        <f>ROUND(1.88,5)</f>
        <v>1.88</v>
      </c>
      <c r="D73" s="25">
        <f>F73</f>
        <v>135.38329</v>
      </c>
      <c r="E73" s="25">
        <f>F73</f>
        <v>135.38329</v>
      </c>
      <c r="F73" s="25">
        <f>ROUND(135.38329,5)</f>
        <v>135.38329</v>
      </c>
      <c r="G73" s="24"/>
      <c r="H73" s="36"/>
    </row>
    <row r="74" spans="1:8" ht="12.75" customHeight="1">
      <c r="A74" s="22">
        <v>42768</v>
      </c>
      <c r="B74" s="22"/>
      <c r="C74" s="25">
        <f>ROUND(1.88,5)</f>
        <v>1.88</v>
      </c>
      <c r="D74" s="25">
        <f>F74</f>
        <v>136.66282</v>
      </c>
      <c r="E74" s="25">
        <f>F74</f>
        <v>136.66282</v>
      </c>
      <c r="F74" s="25">
        <f>ROUND(136.66282,5)</f>
        <v>136.66282</v>
      </c>
      <c r="G74" s="24"/>
      <c r="H74" s="36"/>
    </row>
    <row r="75" spans="1:8" ht="12.75" customHeight="1">
      <c r="A75" s="22">
        <v>42859</v>
      </c>
      <c r="B75" s="22"/>
      <c r="C75" s="25">
        <f>ROUND(1.88,5)</f>
        <v>1.88</v>
      </c>
      <c r="D75" s="25">
        <f>F75</f>
        <v>139.58025</v>
      </c>
      <c r="E75" s="25">
        <f>F75</f>
        <v>139.58025</v>
      </c>
      <c r="F75" s="25">
        <f>ROUND(139.58025,5)</f>
        <v>139.58025</v>
      </c>
      <c r="G75" s="24"/>
      <c r="H75" s="36"/>
    </row>
    <row r="76" spans="1:8" ht="12.75" customHeight="1">
      <c r="A76" s="22">
        <v>42950</v>
      </c>
      <c r="B76" s="22"/>
      <c r="C76" s="25">
        <f>ROUND(1.88,5)</f>
        <v>1.88</v>
      </c>
      <c r="D76" s="25">
        <f>F76</f>
        <v>142.35913</v>
      </c>
      <c r="E76" s="25">
        <f>F76</f>
        <v>142.35913</v>
      </c>
      <c r="F76" s="25">
        <f>ROUND(142.35913,5)</f>
        <v>142.35913</v>
      </c>
      <c r="G76" s="24"/>
      <c r="H76" s="36"/>
    </row>
    <row r="77" spans="1:8" ht="12.75" customHeight="1">
      <c r="A77" s="22" t="s">
        <v>36</v>
      </c>
      <c r="B77" s="22"/>
      <c r="C77" s="26"/>
      <c r="D77" s="26"/>
      <c r="E77" s="26"/>
      <c r="F77" s="26"/>
      <c r="G77" s="24"/>
      <c r="H77" s="36"/>
    </row>
    <row r="78" spans="1:8" ht="12.75" customHeight="1">
      <c r="A78" s="22">
        <v>42586</v>
      </c>
      <c r="B78" s="22"/>
      <c r="C78" s="25">
        <f>ROUND(9.83,5)</f>
        <v>9.83</v>
      </c>
      <c r="D78" s="25">
        <f>F78</f>
        <v>9.87201</v>
      </c>
      <c r="E78" s="25">
        <f>F78</f>
        <v>9.87201</v>
      </c>
      <c r="F78" s="25">
        <f>ROUND(9.87201,5)</f>
        <v>9.87201</v>
      </c>
      <c r="G78" s="24"/>
      <c r="H78" s="36"/>
    </row>
    <row r="79" spans="1:8" ht="12.75" customHeight="1">
      <c r="A79" s="22">
        <v>42677</v>
      </c>
      <c r="B79" s="22"/>
      <c r="C79" s="25">
        <f>ROUND(9.83,5)</f>
        <v>9.83</v>
      </c>
      <c r="D79" s="25">
        <f>F79</f>
        <v>9.92493</v>
      </c>
      <c r="E79" s="25">
        <f>F79</f>
        <v>9.92493</v>
      </c>
      <c r="F79" s="25">
        <f>ROUND(9.92493,5)</f>
        <v>9.92493</v>
      </c>
      <c r="G79" s="24"/>
      <c r="H79" s="36"/>
    </row>
    <row r="80" spans="1:8" ht="12.75" customHeight="1">
      <c r="A80" s="22">
        <v>42768</v>
      </c>
      <c r="B80" s="22"/>
      <c r="C80" s="25">
        <f>ROUND(9.83,5)</f>
        <v>9.83</v>
      </c>
      <c r="D80" s="25">
        <f>F80</f>
        <v>9.97193</v>
      </c>
      <c r="E80" s="25">
        <f>F80</f>
        <v>9.97193</v>
      </c>
      <c r="F80" s="25">
        <f>ROUND(9.97193,5)</f>
        <v>9.97193</v>
      </c>
      <c r="G80" s="24"/>
      <c r="H80" s="36"/>
    </row>
    <row r="81" spans="1:8" ht="12.75" customHeight="1">
      <c r="A81" s="22">
        <v>42859</v>
      </c>
      <c r="B81" s="22"/>
      <c r="C81" s="25">
        <f>ROUND(9.83,5)</f>
        <v>9.83</v>
      </c>
      <c r="D81" s="25">
        <f>F81</f>
        <v>10.01008</v>
      </c>
      <c r="E81" s="25">
        <f>F81</f>
        <v>10.01008</v>
      </c>
      <c r="F81" s="25">
        <f>ROUND(10.01008,5)</f>
        <v>10.01008</v>
      </c>
      <c r="G81" s="24"/>
      <c r="H81" s="36"/>
    </row>
    <row r="82" spans="1:8" ht="12.75" customHeight="1">
      <c r="A82" s="22">
        <v>42950</v>
      </c>
      <c r="B82" s="22"/>
      <c r="C82" s="25">
        <f>ROUND(9.83,5)</f>
        <v>9.83</v>
      </c>
      <c r="D82" s="25">
        <f>F82</f>
        <v>10.06707</v>
      </c>
      <c r="E82" s="25">
        <f>F82</f>
        <v>10.06707</v>
      </c>
      <c r="F82" s="25">
        <f>ROUND(10.06707,5)</f>
        <v>10.06707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42586</v>
      </c>
      <c r="B84" s="22"/>
      <c r="C84" s="25">
        <f>ROUND(9.84,5)</f>
        <v>9.84</v>
      </c>
      <c r="D84" s="25">
        <f>F84</f>
        <v>9.88065</v>
      </c>
      <c r="E84" s="25">
        <f>F84</f>
        <v>9.88065</v>
      </c>
      <c r="F84" s="25">
        <f>ROUND(9.88065,5)</f>
        <v>9.88065</v>
      </c>
      <c r="G84" s="24"/>
      <c r="H84" s="36"/>
    </row>
    <row r="85" spans="1:8" ht="12.75" customHeight="1">
      <c r="A85" s="22">
        <v>42677</v>
      </c>
      <c r="B85" s="22"/>
      <c r="C85" s="25">
        <f>ROUND(9.84,5)</f>
        <v>9.84</v>
      </c>
      <c r="D85" s="25">
        <f>F85</f>
        <v>9.9318</v>
      </c>
      <c r="E85" s="25">
        <f>F85</f>
        <v>9.9318</v>
      </c>
      <c r="F85" s="25">
        <f>ROUND(9.9318,5)</f>
        <v>9.9318</v>
      </c>
      <c r="G85" s="24"/>
      <c r="H85" s="36"/>
    </row>
    <row r="86" spans="1:8" ht="12.75" customHeight="1">
      <c r="A86" s="22">
        <v>42768</v>
      </c>
      <c r="B86" s="22"/>
      <c r="C86" s="25">
        <f>ROUND(9.84,5)</f>
        <v>9.84</v>
      </c>
      <c r="D86" s="25">
        <f>F86</f>
        <v>9.9772</v>
      </c>
      <c r="E86" s="25">
        <f>F86</f>
        <v>9.9772</v>
      </c>
      <c r="F86" s="25">
        <f>ROUND(9.9772,5)</f>
        <v>9.9772</v>
      </c>
      <c r="G86" s="24"/>
      <c r="H86" s="36"/>
    </row>
    <row r="87" spans="1:8" ht="12.75" customHeight="1">
      <c r="A87" s="22">
        <v>42859</v>
      </c>
      <c r="B87" s="22"/>
      <c r="C87" s="25">
        <f>ROUND(9.84,5)</f>
        <v>9.84</v>
      </c>
      <c r="D87" s="25">
        <f>F87</f>
        <v>10.01401</v>
      </c>
      <c r="E87" s="25">
        <f>F87</f>
        <v>10.01401</v>
      </c>
      <c r="F87" s="25">
        <f>ROUND(10.01401,5)</f>
        <v>10.01401</v>
      </c>
      <c r="G87" s="24"/>
      <c r="H87" s="36"/>
    </row>
    <row r="88" spans="1:8" ht="12.75" customHeight="1">
      <c r="A88" s="22">
        <v>42950</v>
      </c>
      <c r="B88" s="22"/>
      <c r="C88" s="25">
        <f>ROUND(9.84,5)</f>
        <v>9.84</v>
      </c>
      <c r="D88" s="25">
        <f>F88</f>
        <v>10.06885</v>
      </c>
      <c r="E88" s="25">
        <f>F88</f>
        <v>10.06885</v>
      </c>
      <c r="F88" s="25">
        <f>ROUND(10.06885,5)</f>
        <v>10.06885</v>
      </c>
      <c r="G88" s="24"/>
      <c r="H88" s="36"/>
    </row>
    <row r="89" spans="1:8" ht="12.75" customHeight="1">
      <c r="A89" s="22" t="s">
        <v>38</v>
      </c>
      <c r="B89" s="22"/>
      <c r="C89" s="26"/>
      <c r="D89" s="26"/>
      <c r="E89" s="26"/>
      <c r="F89" s="26"/>
      <c r="G89" s="24"/>
      <c r="H89" s="36"/>
    </row>
    <row r="90" spans="1:8" ht="12.75" customHeight="1">
      <c r="A90" s="22">
        <v>42586</v>
      </c>
      <c r="B90" s="22"/>
      <c r="C90" s="25">
        <f>ROUND(130.76213,5)</f>
        <v>130.76213</v>
      </c>
      <c r="D90" s="25">
        <f>F90</f>
        <v>132.46368</v>
      </c>
      <c r="E90" s="25">
        <f>F90</f>
        <v>132.46368</v>
      </c>
      <c r="F90" s="25">
        <f>ROUND(132.46368,5)</f>
        <v>132.46368</v>
      </c>
      <c r="G90" s="24"/>
      <c r="H90" s="36"/>
    </row>
    <row r="91" spans="1:8" ht="12.75" customHeight="1">
      <c r="A91" s="22">
        <v>42677</v>
      </c>
      <c r="B91" s="22"/>
      <c r="C91" s="25">
        <f>ROUND(130.76213,5)</f>
        <v>130.76213</v>
      </c>
      <c r="D91" s="25">
        <f>F91</f>
        <v>133.48719</v>
      </c>
      <c r="E91" s="25">
        <f>F91</f>
        <v>133.48719</v>
      </c>
      <c r="F91" s="25">
        <f>ROUND(133.48719,5)</f>
        <v>133.48719</v>
      </c>
      <c r="G91" s="24"/>
      <c r="H91" s="36"/>
    </row>
    <row r="92" spans="1:8" ht="12.75" customHeight="1">
      <c r="A92" s="22">
        <v>42768</v>
      </c>
      <c r="B92" s="22"/>
      <c r="C92" s="25">
        <f>ROUND(130.76213,5)</f>
        <v>130.76213</v>
      </c>
      <c r="D92" s="25">
        <f>F92</f>
        <v>136.1789</v>
      </c>
      <c r="E92" s="25">
        <f>F92</f>
        <v>136.1789</v>
      </c>
      <c r="F92" s="25">
        <f>ROUND(136.1789,5)</f>
        <v>136.1789</v>
      </c>
      <c r="G92" s="24"/>
      <c r="H92" s="36"/>
    </row>
    <row r="93" spans="1:8" ht="12.75" customHeight="1">
      <c r="A93" s="22">
        <v>42859</v>
      </c>
      <c r="B93" s="22"/>
      <c r="C93" s="25">
        <f>ROUND(130.76213,5)</f>
        <v>130.76213</v>
      </c>
      <c r="D93" s="25">
        <f>F93</f>
        <v>137.5509</v>
      </c>
      <c r="E93" s="25">
        <f>F93</f>
        <v>137.5509</v>
      </c>
      <c r="F93" s="25">
        <f>ROUND(137.5509,5)</f>
        <v>137.5509</v>
      </c>
      <c r="G93" s="24"/>
      <c r="H93" s="36"/>
    </row>
    <row r="94" spans="1:8" ht="12.75" customHeight="1">
      <c r="A94" s="22">
        <v>42950</v>
      </c>
      <c r="B94" s="22"/>
      <c r="C94" s="25">
        <f>ROUND(130.76213,5)</f>
        <v>130.76213</v>
      </c>
      <c r="D94" s="25">
        <f>F94</f>
        <v>140.28887</v>
      </c>
      <c r="E94" s="25">
        <f>F94</f>
        <v>140.28887</v>
      </c>
      <c r="F94" s="25">
        <f>ROUND(140.28887,5)</f>
        <v>140.28887</v>
      </c>
      <c r="G94" s="24"/>
      <c r="H94" s="36"/>
    </row>
    <row r="95" spans="1:8" ht="12.75" customHeight="1">
      <c r="A95" s="22" t="s">
        <v>39</v>
      </c>
      <c r="B95" s="22"/>
      <c r="C95" s="26"/>
      <c r="D95" s="26"/>
      <c r="E95" s="26"/>
      <c r="F95" s="26"/>
      <c r="G95" s="24"/>
      <c r="H95" s="36"/>
    </row>
    <row r="96" spans="1:8" ht="12.75" customHeight="1">
      <c r="A96" s="22">
        <v>42586</v>
      </c>
      <c r="B96" s="22"/>
      <c r="C96" s="25">
        <f>ROUND(1.935,5)</f>
        <v>1.935</v>
      </c>
      <c r="D96" s="25">
        <f>F96</f>
        <v>142.48925</v>
      </c>
      <c r="E96" s="25">
        <f>F96</f>
        <v>142.48925</v>
      </c>
      <c r="F96" s="25">
        <f>ROUND(142.48925,5)</f>
        <v>142.48925</v>
      </c>
      <c r="G96" s="24"/>
      <c r="H96" s="36"/>
    </row>
    <row r="97" spans="1:8" ht="12.75" customHeight="1">
      <c r="A97" s="22">
        <v>42677</v>
      </c>
      <c r="B97" s="22"/>
      <c r="C97" s="25">
        <f>ROUND(1.935,5)</f>
        <v>1.935</v>
      </c>
      <c r="D97" s="25">
        <f>F97</f>
        <v>145.2099</v>
      </c>
      <c r="E97" s="25">
        <f>F97</f>
        <v>145.2099</v>
      </c>
      <c r="F97" s="25">
        <f>ROUND(145.2099,5)</f>
        <v>145.2099</v>
      </c>
      <c r="G97" s="24"/>
      <c r="H97" s="36"/>
    </row>
    <row r="98" spans="1:8" ht="12.75" customHeight="1">
      <c r="A98" s="22">
        <v>42768</v>
      </c>
      <c r="B98" s="22"/>
      <c r="C98" s="25">
        <f>ROUND(1.935,5)</f>
        <v>1.935</v>
      </c>
      <c r="D98" s="25">
        <f>F98</f>
        <v>146.5206</v>
      </c>
      <c r="E98" s="25">
        <f>F98</f>
        <v>146.5206</v>
      </c>
      <c r="F98" s="25">
        <f>ROUND(146.5206,5)</f>
        <v>146.5206</v>
      </c>
      <c r="G98" s="24"/>
      <c r="H98" s="36"/>
    </row>
    <row r="99" spans="1:8" ht="12.75" customHeight="1">
      <c r="A99" s="22">
        <v>42859</v>
      </c>
      <c r="B99" s="22"/>
      <c r="C99" s="25">
        <f>ROUND(1.935,5)</f>
        <v>1.935</v>
      </c>
      <c r="D99" s="25">
        <f>F99</f>
        <v>149.6483</v>
      </c>
      <c r="E99" s="25">
        <f>F99</f>
        <v>149.6483</v>
      </c>
      <c r="F99" s="25">
        <f>ROUND(149.6483,5)</f>
        <v>149.6483</v>
      </c>
      <c r="G99" s="24"/>
      <c r="H99" s="36"/>
    </row>
    <row r="100" spans="1:8" ht="12.75" customHeight="1">
      <c r="A100" s="22">
        <v>42950</v>
      </c>
      <c r="B100" s="22"/>
      <c r="C100" s="25">
        <f>ROUND(1.935,5)</f>
        <v>1.935</v>
      </c>
      <c r="D100" s="25">
        <f>F100</f>
        <v>152.62783</v>
      </c>
      <c r="E100" s="25">
        <f>F100</f>
        <v>152.62783</v>
      </c>
      <c r="F100" s="25">
        <f>ROUND(152.62783,5)</f>
        <v>152.62783</v>
      </c>
      <c r="G100" s="24"/>
      <c r="H100" s="36"/>
    </row>
    <row r="101" spans="1:8" ht="12.75" customHeight="1">
      <c r="A101" s="22" t="s">
        <v>40</v>
      </c>
      <c r="B101" s="22"/>
      <c r="C101" s="26"/>
      <c r="D101" s="26"/>
      <c r="E101" s="26"/>
      <c r="F101" s="26"/>
      <c r="G101" s="24"/>
      <c r="H101" s="36"/>
    </row>
    <row r="102" spans="1:8" ht="12.75" customHeight="1">
      <c r="A102" s="22">
        <v>42586</v>
      </c>
      <c r="B102" s="22"/>
      <c r="C102" s="25">
        <f>ROUND(2.255,5)</f>
        <v>2.255</v>
      </c>
      <c r="D102" s="25">
        <f>F102</f>
        <v>131.38534</v>
      </c>
      <c r="E102" s="25">
        <f>F102</f>
        <v>131.38534</v>
      </c>
      <c r="F102" s="25">
        <f>ROUND(131.38534,5)</f>
        <v>131.38534</v>
      </c>
      <c r="G102" s="24"/>
      <c r="H102" s="36"/>
    </row>
    <row r="103" spans="1:8" ht="12.75" customHeight="1">
      <c r="A103" s="22">
        <v>42677</v>
      </c>
      <c r="B103" s="22"/>
      <c r="C103" s="25">
        <f>ROUND(2.255,5)</f>
        <v>2.255</v>
      </c>
      <c r="D103" s="25">
        <f>F103</f>
        <v>132.2296</v>
      </c>
      <c r="E103" s="25">
        <f>F103</f>
        <v>132.2296</v>
      </c>
      <c r="F103" s="25">
        <f>ROUND(132.2296,5)</f>
        <v>132.2296</v>
      </c>
      <c r="G103" s="24"/>
      <c r="H103" s="36"/>
    </row>
    <row r="104" spans="1:8" ht="12.75" customHeight="1">
      <c r="A104" s="22">
        <v>42768</v>
      </c>
      <c r="B104" s="22"/>
      <c r="C104" s="25">
        <f>ROUND(2.255,5)</f>
        <v>2.255</v>
      </c>
      <c r="D104" s="25">
        <f>F104</f>
        <v>134.89615</v>
      </c>
      <c r="E104" s="25">
        <f>F104</f>
        <v>134.89615</v>
      </c>
      <c r="F104" s="25">
        <f>ROUND(134.89615,5)</f>
        <v>134.89615</v>
      </c>
      <c r="G104" s="24"/>
      <c r="H104" s="36"/>
    </row>
    <row r="105" spans="1:8" ht="12.75" customHeight="1">
      <c r="A105" s="22">
        <v>42859</v>
      </c>
      <c r="B105" s="22"/>
      <c r="C105" s="25">
        <f>ROUND(2.255,5)</f>
        <v>2.255</v>
      </c>
      <c r="D105" s="25">
        <f>F105</f>
        <v>137.77541</v>
      </c>
      <c r="E105" s="25">
        <f>F105</f>
        <v>137.77541</v>
      </c>
      <c r="F105" s="25">
        <f>ROUND(137.77541,5)</f>
        <v>137.77541</v>
      </c>
      <c r="G105" s="24"/>
      <c r="H105" s="36"/>
    </row>
    <row r="106" spans="1:8" ht="12.75" customHeight="1">
      <c r="A106" s="22">
        <v>42950</v>
      </c>
      <c r="B106" s="22"/>
      <c r="C106" s="25">
        <f>ROUND(2.255,5)</f>
        <v>2.255</v>
      </c>
      <c r="D106" s="25">
        <f>F106</f>
        <v>140.51877</v>
      </c>
      <c r="E106" s="25">
        <f>F106</f>
        <v>140.51877</v>
      </c>
      <c r="F106" s="25">
        <f>ROUND(140.51877,5)</f>
        <v>140.51877</v>
      </c>
      <c r="G106" s="24"/>
      <c r="H106" s="36"/>
    </row>
    <row r="107" spans="1:8" ht="12.75" customHeight="1">
      <c r="A107" s="22" t="s">
        <v>41</v>
      </c>
      <c r="B107" s="22"/>
      <c r="C107" s="26"/>
      <c r="D107" s="26"/>
      <c r="E107" s="26"/>
      <c r="F107" s="26"/>
      <c r="G107" s="24"/>
      <c r="H107" s="36"/>
    </row>
    <row r="108" spans="1:8" ht="12.75" customHeight="1">
      <c r="A108" s="22">
        <v>42586</v>
      </c>
      <c r="B108" s="22"/>
      <c r="C108" s="25">
        <f>ROUND(10.625,5)</f>
        <v>10.625</v>
      </c>
      <c r="D108" s="25">
        <f>F108</f>
        <v>10.68536</v>
      </c>
      <c r="E108" s="25">
        <f>F108</f>
        <v>10.68536</v>
      </c>
      <c r="F108" s="25">
        <f>ROUND(10.68536,5)</f>
        <v>10.68536</v>
      </c>
      <c r="G108" s="24"/>
      <c r="H108" s="36"/>
    </row>
    <row r="109" spans="1:8" ht="12.75" customHeight="1">
      <c r="A109" s="22">
        <v>42677</v>
      </c>
      <c r="B109" s="22"/>
      <c r="C109" s="25">
        <f>ROUND(10.625,5)</f>
        <v>10.625</v>
      </c>
      <c r="D109" s="25">
        <f>F109</f>
        <v>10.77113</v>
      </c>
      <c r="E109" s="25">
        <f>F109</f>
        <v>10.77113</v>
      </c>
      <c r="F109" s="25">
        <f>ROUND(10.77113,5)</f>
        <v>10.77113</v>
      </c>
      <c r="G109" s="24"/>
      <c r="H109" s="36"/>
    </row>
    <row r="110" spans="1:8" ht="12.75" customHeight="1">
      <c r="A110" s="22">
        <v>42768</v>
      </c>
      <c r="B110" s="22"/>
      <c r="C110" s="25">
        <f>ROUND(10.625,5)</f>
        <v>10.625</v>
      </c>
      <c r="D110" s="25">
        <f>F110</f>
        <v>10.85309</v>
      </c>
      <c r="E110" s="25">
        <f>F110</f>
        <v>10.85309</v>
      </c>
      <c r="F110" s="25">
        <f>ROUND(10.85309,5)</f>
        <v>10.85309</v>
      </c>
      <c r="G110" s="24"/>
      <c r="H110" s="36"/>
    </row>
    <row r="111" spans="1:8" ht="12.75" customHeight="1">
      <c r="A111" s="22">
        <v>42859</v>
      </c>
      <c r="B111" s="22"/>
      <c r="C111" s="25">
        <f>ROUND(10.625,5)</f>
        <v>10.625</v>
      </c>
      <c r="D111" s="25">
        <f>F111</f>
        <v>10.91949</v>
      </c>
      <c r="E111" s="25">
        <f>F111</f>
        <v>10.91949</v>
      </c>
      <c r="F111" s="25">
        <f>ROUND(10.91949,5)</f>
        <v>10.91949</v>
      </c>
      <c r="G111" s="24"/>
      <c r="H111" s="36"/>
    </row>
    <row r="112" spans="1:8" ht="12.75" customHeight="1">
      <c r="A112" s="22">
        <v>42950</v>
      </c>
      <c r="B112" s="22"/>
      <c r="C112" s="25">
        <f>ROUND(10.625,5)</f>
        <v>10.625</v>
      </c>
      <c r="D112" s="25">
        <f>F112</f>
        <v>11.00549</v>
      </c>
      <c r="E112" s="25">
        <f>F112</f>
        <v>11.00549</v>
      </c>
      <c r="F112" s="25">
        <f>ROUND(11.00549,5)</f>
        <v>11.00549</v>
      </c>
      <c r="G112" s="24"/>
      <c r="H112" s="36"/>
    </row>
    <row r="113" spans="1:8" ht="12.75" customHeight="1">
      <c r="A113" s="22" t="s">
        <v>42</v>
      </c>
      <c r="B113" s="22"/>
      <c r="C113" s="26"/>
      <c r="D113" s="26"/>
      <c r="E113" s="26"/>
      <c r="F113" s="26"/>
      <c r="G113" s="24"/>
      <c r="H113" s="36"/>
    </row>
    <row r="114" spans="1:8" ht="12.75" customHeight="1">
      <c r="A114" s="22">
        <v>42586</v>
      </c>
      <c r="B114" s="22"/>
      <c r="C114" s="25">
        <f>ROUND(10.765,5)</f>
        <v>10.765</v>
      </c>
      <c r="D114" s="25">
        <f>F114</f>
        <v>10.82479</v>
      </c>
      <c r="E114" s="25">
        <f>F114</f>
        <v>10.82479</v>
      </c>
      <c r="F114" s="25">
        <f>ROUND(10.82479,5)</f>
        <v>10.82479</v>
      </c>
      <c r="G114" s="24"/>
      <c r="H114" s="36"/>
    </row>
    <row r="115" spans="1:8" ht="12.75" customHeight="1">
      <c r="A115" s="22">
        <v>42677</v>
      </c>
      <c r="B115" s="22"/>
      <c r="C115" s="25">
        <f>ROUND(10.765,5)</f>
        <v>10.765</v>
      </c>
      <c r="D115" s="25">
        <f>F115</f>
        <v>10.9089</v>
      </c>
      <c r="E115" s="25">
        <f>F115</f>
        <v>10.9089</v>
      </c>
      <c r="F115" s="25">
        <f>ROUND(10.9089,5)</f>
        <v>10.9089</v>
      </c>
      <c r="G115" s="24"/>
      <c r="H115" s="36"/>
    </row>
    <row r="116" spans="1:8" ht="12.75" customHeight="1">
      <c r="A116" s="22">
        <v>42768</v>
      </c>
      <c r="B116" s="22"/>
      <c r="C116" s="25">
        <f>ROUND(10.765,5)</f>
        <v>10.765</v>
      </c>
      <c r="D116" s="25">
        <f>F116</f>
        <v>10.98672</v>
      </c>
      <c r="E116" s="25">
        <f>F116</f>
        <v>10.98672</v>
      </c>
      <c r="F116" s="25">
        <f>ROUND(10.98672,5)</f>
        <v>10.98672</v>
      </c>
      <c r="G116" s="24"/>
      <c r="H116" s="36"/>
    </row>
    <row r="117" spans="1:8" ht="12.75" customHeight="1">
      <c r="A117" s="22">
        <v>42859</v>
      </c>
      <c r="B117" s="22"/>
      <c r="C117" s="25">
        <f>ROUND(10.765,5)</f>
        <v>10.765</v>
      </c>
      <c r="D117" s="25">
        <f>F117</f>
        <v>11.0544</v>
      </c>
      <c r="E117" s="25">
        <f>F117</f>
        <v>11.0544</v>
      </c>
      <c r="F117" s="25">
        <f>ROUND(11.0544,5)</f>
        <v>11.0544</v>
      </c>
      <c r="G117" s="24"/>
      <c r="H117" s="36"/>
    </row>
    <row r="118" spans="1:8" ht="12.75" customHeight="1">
      <c r="A118" s="22">
        <v>42950</v>
      </c>
      <c r="B118" s="22"/>
      <c r="C118" s="25">
        <f>ROUND(10.765,5)</f>
        <v>10.765</v>
      </c>
      <c r="D118" s="25">
        <f>F118</f>
        <v>11.13922</v>
      </c>
      <c r="E118" s="25">
        <f>F118</f>
        <v>11.13922</v>
      </c>
      <c r="F118" s="25">
        <f>ROUND(11.13922,5)</f>
        <v>11.13922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42586</v>
      </c>
      <c r="B120" s="22"/>
      <c r="C120" s="25">
        <f>ROUND(152.1989528,5)</f>
        <v>152.19895</v>
      </c>
      <c r="D120" s="25">
        <f>F120</f>
        <v>152.57743</v>
      </c>
      <c r="E120" s="25">
        <f>F120</f>
        <v>152.57743</v>
      </c>
      <c r="F120" s="25">
        <f>ROUND(152.57743,5)</f>
        <v>152.57743</v>
      </c>
      <c r="G120" s="24"/>
      <c r="H120" s="36"/>
    </row>
    <row r="121" spans="1:8" ht="12.75" customHeight="1">
      <c r="A121" s="22">
        <v>42677</v>
      </c>
      <c r="B121" s="22"/>
      <c r="C121" s="25">
        <f>ROUND(152.1989528,5)</f>
        <v>152.19895</v>
      </c>
      <c r="D121" s="25">
        <f>F121</f>
        <v>155.49086</v>
      </c>
      <c r="E121" s="25">
        <f>F121</f>
        <v>155.49086</v>
      </c>
      <c r="F121" s="25">
        <f>ROUND(155.49086,5)</f>
        <v>155.49086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42586</v>
      </c>
      <c r="B123" s="22"/>
      <c r="C123" s="25">
        <f>ROUND(8.99,5)</f>
        <v>8.99</v>
      </c>
      <c r="D123" s="25">
        <f>F123</f>
        <v>9.03368</v>
      </c>
      <c r="E123" s="25">
        <f>F123</f>
        <v>9.03368</v>
      </c>
      <c r="F123" s="25">
        <f>ROUND(9.03368,5)</f>
        <v>9.03368</v>
      </c>
      <c r="G123" s="24"/>
      <c r="H123" s="36"/>
    </row>
    <row r="124" spans="1:8" ht="12.75" customHeight="1">
      <c r="A124" s="22">
        <v>42677</v>
      </c>
      <c r="B124" s="22"/>
      <c r="C124" s="25">
        <f>ROUND(8.99,5)</f>
        <v>8.99</v>
      </c>
      <c r="D124" s="25">
        <f>F124</f>
        <v>9.09753</v>
      </c>
      <c r="E124" s="25">
        <f>F124</f>
        <v>9.09753</v>
      </c>
      <c r="F124" s="25">
        <f>ROUND(9.09753,5)</f>
        <v>9.09753</v>
      </c>
      <c r="G124" s="24"/>
      <c r="H124" s="36"/>
    </row>
    <row r="125" spans="1:8" ht="12.75" customHeight="1">
      <c r="A125" s="22">
        <v>42768</v>
      </c>
      <c r="B125" s="22"/>
      <c r="C125" s="25">
        <f>ROUND(8.99,5)</f>
        <v>8.99</v>
      </c>
      <c r="D125" s="25">
        <f>F125</f>
        <v>9.15216</v>
      </c>
      <c r="E125" s="25">
        <f>F125</f>
        <v>9.15216</v>
      </c>
      <c r="F125" s="25">
        <f>ROUND(9.15216,5)</f>
        <v>9.15216</v>
      </c>
      <c r="G125" s="24"/>
      <c r="H125" s="36"/>
    </row>
    <row r="126" spans="1:8" ht="12.75" customHeight="1">
      <c r="A126" s="22">
        <v>42859</v>
      </c>
      <c r="B126" s="22"/>
      <c r="C126" s="25">
        <f>ROUND(8.99,5)</f>
        <v>8.99</v>
      </c>
      <c r="D126" s="25">
        <f>F126</f>
        <v>9.17783</v>
      </c>
      <c r="E126" s="25">
        <f>F126</f>
        <v>9.17783</v>
      </c>
      <c r="F126" s="25">
        <f>ROUND(9.17783,5)</f>
        <v>9.17783</v>
      </c>
      <c r="G126" s="24"/>
      <c r="H126" s="36"/>
    </row>
    <row r="127" spans="1:8" ht="12.75" customHeight="1">
      <c r="A127" s="22">
        <v>42950</v>
      </c>
      <c r="B127" s="22"/>
      <c r="C127" s="25">
        <f>ROUND(8.99,5)</f>
        <v>8.99</v>
      </c>
      <c r="D127" s="25">
        <f>F127</f>
        <v>9.23861</v>
      </c>
      <c r="E127" s="25">
        <f>F127</f>
        <v>9.23861</v>
      </c>
      <c r="F127" s="25">
        <f>ROUND(9.23861,5)</f>
        <v>9.23861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42586</v>
      </c>
      <c r="B129" s="22"/>
      <c r="C129" s="25">
        <f>ROUND(9.705,5)</f>
        <v>9.705</v>
      </c>
      <c r="D129" s="25">
        <f>F129</f>
        <v>9.74427</v>
      </c>
      <c r="E129" s="25">
        <f>F129</f>
        <v>9.74427</v>
      </c>
      <c r="F129" s="25">
        <f>ROUND(9.74427,5)</f>
        <v>9.74427</v>
      </c>
      <c r="G129" s="24"/>
      <c r="H129" s="36"/>
    </row>
    <row r="130" spans="1:8" ht="12.75" customHeight="1">
      <c r="A130" s="22">
        <v>42677</v>
      </c>
      <c r="B130" s="22"/>
      <c r="C130" s="25">
        <f>ROUND(9.705,5)</f>
        <v>9.705</v>
      </c>
      <c r="D130" s="25">
        <f>F130</f>
        <v>9.80042</v>
      </c>
      <c r="E130" s="25">
        <f>F130</f>
        <v>9.80042</v>
      </c>
      <c r="F130" s="25">
        <f>ROUND(9.80042,5)</f>
        <v>9.80042</v>
      </c>
      <c r="G130" s="24"/>
      <c r="H130" s="36"/>
    </row>
    <row r="131" spans="1:8" ht="12.75" customHeight="1">
      <c r="A131" s="22">
        <v>42768</v>
      </c>
      <c r="B131" s="22"/>
      <c r="C131" s="25">
        <f>ROUND(9.705,5)</f>
        <v>9.705</v>
      </c>
      <c r="D131" s="25">
        <f>F131</f>
        <v>9.85117</v>
      </c>
      <c r="E131" s="25">
        <f>F131</f>
        <v>9.85117</v>
      </c>
      <c r="F131" s="25">
        <f>ROUND(9.85117,5)</f>
        <v>9.85117</v>
      </c>
      <c r="G131" s="24"/>
      <c r="H131" s="36"/>
    </row>
    <row r="132" spans="1:8" ht="12.75" customHeight="1">
      <c r="A132" s="22">
        <v>42859</v>
      </c>
      <c r="B132" s="22"/>
      <c r="C132" s="25">
        <f>ROUND(9.705,5)</f>
        <v>9.705</v>
      </c>
      <c r="D132" s="25">
        <f>F132</f>
        <v>9.885</v>
      </c>
      <c r="E132" s="25">
        <f>F132</f>
        <v>9.885</v>
      </c>
      <c r="F132" s="25">
        <f>ROUND(9.885,5)</f>
        <v>9.885</v>
      </c>
      <c r="G132" s="24"/>
      <c r="H132" s="36"/>
    </row>
    <row r="133" spans="1:8" ht="12.75" customHeight="1">
      <c r="A133" s="22">
        <v>42950</v>
      </c>
      <c r="B133" s="22"/>
      <c r="C133" s="25">
        <f>ROUND(9.705,5)</f>
        <v>9.705</v>
      </c>
      <c r="D133" s="25">
        <f>F133</f>
        <v>9.93756</v>
      </c>
      <c r="E133" s="25">
        <f>F133</f>
        <v>9.93756</v>
      </c>
      <c r="F133" s="25">
        <f>ROUND(9.93756,5)</f>
        <v>9.93756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42586</v>
      </c>
      <c r="B135" s="22"/>
      <c r="C135" s="25">
        <f>ROUND(9.19,5)</f>
        <v>9.19</v>
      </c>
      <c r="D135" s="25">
        <f>F135</f>
        <v>9.23137</v>
      </c>
      <c r="E135" s="25">
        <f>F135</f>
        <v>9.23137</v>
      </c>
      <c r="F135" s="25">
        <f>ROUND(9.23137,5)</f>
        <v>9.23137</v>
      </c>
      <c r="G135" s="24"/>
      <c r="H135" s="36"/>
    </row>
    <row r="136" spans="1:8" ht="12.75" customHeight="1">
      <c r="A136" s="22">
        <v>42677</v>
      </c>
      <c r="B136" s="22"/>
      <c r="C136" s="25">
        <f>ROUND(9.19,5)</f>
        <v>9.19</v>
      </c>
      <c r="D136" s="25">
        <f>F136</f>
        <v>9.28642</v>
      </c>
      <c r="E136" s="25">
        <f>F136</f>
        <v>9.28642</v>
      </c>
      <c r="F136" s="25">
        <f>ROUND(9.28642,5)</f>
        <v>9.28642</v>
      </c>
      <c r="G136" s="24"/>
      <c r="H136" s="36"/>
    </row>
    <row r="137" spans="1:8" ht="12.75" customHeight="1">
      <c r="A137" s="22">
        <v>42768</v>
      </c>
      <c r="B137" s="22"/>
      <c r="C137" s="25">
        <f>ROUND(9.19,5)</f>
        <v>9.19</v>
      </c>
      <c r="D137" s="25">
        <f>F137</f>
        <v>9.33208</v>
      </c>
      <c r="E137" s="25">
        <f>F137</f>
        <v>9.33208</v>
      </c>
      <c r="F137" s="25">
        <f>ROUND(9.33208,5)</f>
        <v>9.33208</v>
      </c>
      <c r="G137" s="24"/>
      <c r="H137" s="36"/>
    </row>
    <row r="138" spans="1:8" ht="12.75" customHeight="1">
      <c r="A138" s="22">
        <v>42859</v>
      </c>
      <c r="B138" s="22"/>
      <c r="C138" s="25">
        <f>ROUND(9.19,5)</f>
        <v>9.19</v>
      </c>
      <c r="D138" s="25">
        <f>F138</f>
        <v>9.36133</v>
      </c>
      <c r="E138" s="25">
        <f>F138</f>
        <v>9.36133</v>
      </c>
      <c r="F138" s="25">
        <f>ROUND(9.36133,5)</f>
        <v>9.36133</v>
      </c>
      <c r="G138" s="24"/>
      <c r="H138" s="36"/>
    </row>
    <row r="139" spans="1:8" ht="12.75" customHeight="1">
      <c r="A139" s="22">
        <v>42950</v>
      </c>
      <c r="B139" s="22"/>
      <c r="C139" s="25">
        <f>ROUND(9.19,5)</f>
        <v>9.19</v>
      </c>
      <c r="D139" s="25">
        <f>F139</f>
        <v>9.41653</v>
      </c>
      <c r="E139" s="25">
        <f>F139</f>
        <v>9.41653</v>
      </c>
      <c r="F139" s="25">
        <f>ROUND(9.41653,5)</f>
        <v>9.41653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42586</v>
      </c>
      <c r="B141" s="22"/>
      <c r="C141" s="25">
        <f>ROUND(1.74,5)</f>
        <v>1.74</v>
      </c>
      <c r="D141" s="25">
        <f>F141</f>
        <v>297.90224</v>
      </c>
      <c r="E141" s="25">
        <f>F141</f>
        <v>297.90224</v>
      </c>
      <c r="F141" s="25">
        <f>ROUND(297.90224,5)</f>
        <v>297.90224</v>
      </c>
      <c r="G141" s="24"/>
      <c r="H141" s="36"/>
    </row>
    <row r="142" spans="1:8" ht="12.75" customHeight="1">
      <c r="A142" s="22">
        <v>42677</v>
      </c>
      <c r="B142" s="22"/>
      <c r="C142" s="25">
        <f>ROUND(1.74,5)</f>
        <v>1.74</v>
      </c>
      <c r="D142" s="25">
        <f>F142</f>
        <v>303.59033</v>
      </c>
      <c r="E142" s="25">
        <f>F142</f>
        <v>303.59033</v>
      </c>
      <c r="F142" s="25">
        <f>ROUND(303.59033,5)</f>
        <v>303.59033</v>
      </c>
      <c r="G142" s="24"/>
      <c r="H142" s="36"/>
    </row>
    <row r="143" spans="1:8" ht="12.75" customHeight="1">
      <c r="A143" s="22">
        <v>42768</v>
      </c>
      <c r="B143" s="22"/>
      <c r="C143" s="25">
        <f>ROUND(1.74,5)</f>
        <v>1.74</v>
      </c>
      <c r="D143" s="25">
        <f>F143</f>
        <v>302.96899</v>
      </c>
      <c r="E143" s="25">
        <f>F143</f>
        <v>302.96899</v>
      </c>
      <c r="F143" s="25">
        <f>ROUND(302.96899,5)</f>
        <v>302.96899</v>
      </c>
      <c r="G143" s="24"/>
      <c r="H143" s="36"/>
    </row>
    <row r="144" spans="1:8" ht="12.75" customHeight="1">
      <c r="A144" s="22">
        <v>42859</v>
      </c>
      <c r="B144" s="22"/>
      <c r="C144" s="25">
        <f>ROUND(1.74,5)</f>
        <v>1.74</v>
      </c>
      <c r="D144" s="25">
        <f>F144</f>
        <v>309.43761</v>
      </c>
      <c r="E144" s="25">
        <f>F144</f>
        <v>309.43761</v>
      </c>
      <c r="F144" s="25">
        <f>ROUND(309.43761,5)</f>
        <v>309.43761</v>
      </c>
      <c r="G144" s="24"/>
      <c r="H144" s="36"/>
    </row>
    <row r="145" spans="1:8" ht="12.75" customHeight="1">
      <c r="A145" s="22">
        <v>42950</v>
      </c>
      <c r="B145" s="22"/>
      <c r="C145" s="25">
        <f>ROUND(1.74,5)</f>
        <v>1.74</v>
      </c>
      <c r="D145" s="25">
        <f>F145</f>
        <v>315.59746</v>
      </c>
      <c r="E145" s="25">
        <f>F145</f>
        <v>315.59746</v>
      </c>
      <c r="F145" s="25">
        <f>ROUND(315.59746,5)</f>
        <v>315.59746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42586</v>
      </c>
      <c r="B147" s="22"/>
      <c r="C147" s="25">
        <f>ROUND(1.88,5)</f>
        <v>1.88</v>
      </c>
      <c r="D147" s="25">
        <f>F147</f>
        <v>246.24279</v>
      </c>
      <c r="E147" s="25">
        <f>F147</f>
        <v>246.24279</v>
      </c>
      <c r="F147" s="25">
        <f>ROUND(246.24279,5)</f>
        <v>246.24279</v>
      </c>
      <c r="G147" s="24"/>
      <c r="H147" s="36"/>
    </row>
    <row r="148" spans="1:8" ht="12.75" customHeight="1">
      <c r="A148" s="22">
        <v>42677</v>
      </c>
      <c r="B148" s="22"/>
      <c r="C148" s="25">
        <f>ROUND(1.88,5)</f>
        <v>1.88</v>
      </c>
      <c r="D148" s="25">
        <f>F148</f>
        <v>250.9447</v>
      </c>
      <c r="E148" s="25">
        <f>F148</f>
        <v>250.9447</v>
      </c>
      <c r="F148" s="25">
        <f>ROUND(250.9447,5)</f>
        <v>250.9447</v>
      </c>
      <c r="G148" s="24"/>
      <c r="H148" s="36"/>
    </row>
    <row r="149" spans="1:8" ht="12.75" customHeight="1">
      <c r="A149" s="22">
        <v>42768</v>
      </c>
      <c r="B149" s="22"/>
      <c r="C149" s="25">
        <f>ROUND(1.88,5)</f>
        <v>1.88</v>
      </c>
      <c r="D149" s="25">
        <f>F149</f>
        <v>252.42285</v>
      </c>
      <c r="E149" s="25">
        <f>F149</f>
        <v>252.42285</v>
      </c>
      <c r="F149" s="25">
        <f>ROUND(252.42285,5)</f>
        <v>252.42285</v>
      </c>
      <c r="G149" s="24"/>
      <c r="H149" s="36"/>
    </row>
    <row r="150" spans="1:8" ht="12.75" customHeight="1">
      <c r="A150" s="22">
        <v>42859</v>
      </c>
      <c r="B150" s="22"/>
      <c r="C150" s="25">
        <f>ROUND(1.88,5)</f>
        <v>1.88</v>
      </c>
      <c r="D150" s="25">
        <f>F150</f>
        <v>257.81114</v>
      </c>
      <c r="E150" s="25">
        <f>F150</f>
        <v>257.81114</v>
      </c>
      <c r="F150" s="25">
        <f>ROUND(257.81114,5)</f>
        <v>257.81114</v>
      </c>
      <c r="G150" s="24"/>
      <c r="H150" s="36"/>
    </row>
    <row r="151" spans="1:8" ht="12.75" customHeight="1">
      <c r="A151" s="22">
        <v>42950</v>
      </c>
      <c r="B151" s="22"/>
      <c r="C151" s="25">
        <f>ROUND(1.88,5)</f>
        <v>1.88</v>
      </c>
      <c r="D151" s="25">
        <f>F151</f>
        <v>262.94418</v>
      </c>
      <c r="E151" s="25">
        <f>F151</f>
        <v>262.94418</v>
      </c>
      <c r="F151" s="25">
        <f>ROUND(262.94418,5)</f>
        <v>262.94418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42586</v>
      </c>
      <c r="B153" s="22"/>
      <c r="C153" s="25">
        <f>ROUND(7.875,5)</f>
        <v>7.875</v>
      </c>
      <c r="D153" s="25">
        <f>F153</f>
        <v>7.91023</v>
      </c>
      <c r="E153" s="25">
        <f>F153</f>
        <v>7.91023</v>
      </c>
      <c r="F153" s="25">
        <f>ROUND(7.91023,5)</f>
        <v>7.91023</v>
      </c>
      <c r="G153" s="24"/>
      <c r="H153" s="36"/>
    </row>
    <row r="154" spans="1:8" ht="12.75" customHeight="1">
      <c r="A154" s="22">
        <v>42677</v>
      </c>
      <c r="B154" s="22"/>
      <c r="C154" s="25">
        <f>ROUND(7.875,5)</f>
        <v>7.875</v>
      </c>
      <c r="D154" s="25">
        <f>F154</f>
        <v>7.95137</v>
      </c>
      <c r="E154" s="25">
        <f>F154</f>
        <v>7.95137</v>
      </c>
      <c r="F154" s="25">
        <f>ROUND(7.95137,5)</f>
        <v>7.95137</v>
      </c>
      <c r="G154" s="24"/>
      <c r="H154" s="36"/>
    </row>
    <row r="155" spans="1:8" ht="12.75" customHeight="1">
      <c r="A155" s="22">
        <v>42768</v>
      </c>
      <c r="B155" s="22"/>
      <c r="C155" s="25">
        <f>ROUND(7.875,5)</f>
        <v>7.875</v>
      </c>
      <c r="D155" s="25">
        <f>F155</f>
        <v>7.89894</v>
      </c>
      <c r="E155" s="25">
        <f>F155</f>
        <v>7.89894</v>
      </c>
      <c r="F155" s="25">
        <f>ROUND(7.89894,5)</f>
        <v>7.89894</v>
      </c>
      <c r="G155" s="24"/>
      <c r="H155" s="36"/>
    </row>
    <row r="156" spans="1:8" ht="12.75" customHeight="1">
      <c r="A156" s="22">
        <v>42859</v>
      </c>
      <c r="B156" s="22"/>
      <c r="C156" s="25">
        <f>ROUND(7.875,5)</f>
        <v>7.875</v>
      </c>
      <c r="D156" s="25">
        <f>F156</f>
        <v>7.26085</v>
      </c>
      <c r="E156" s="25">
        <f>F156</f>
        <v>7.26085</v>
      </c>
      <c r="F156" s="25">
        <f>ROUND(7.26085,5)</f>
        <v>7.26085</v>
      </c>
      <c r="G156" s="24"/>
      <c r="H156" s="36"/>
    </row>
    <row r="157" spans="1:8" ht="12.75" customHeight="1">
      <c r="A157" s="22">
        <v>42950</v>
      </c>
      <c r="B157" s="22"/>
      <c r="C157" s="25">
        <f>ROUND(7.875,5)</f>
        <v>7.875</v>
      </c>
      <c r="D157" s="25">
        <f>F157</f>
        <v>5.51322</v>
      </c>
      <c r="E157" s="25">
        <f>F157</f>
        <v>5.51322</v>
      </c>
      <c r="F157" s="25">
        <f>ROUND(5.51322,5)</f>
        <v>5.51322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42586</v>
      </c>
      <c r="B159" s="22"/>
      <c r="C159" s="25">
        <f>ROUND(8.285,5)</f>
        <v>8.285</v>
      </c>
      <c r="D159" s="25">
        <f>F159</f>
        <v>8.33822</v>
      </c>
      <c r="E159" s="25">
        <f>F159</f>
        <v>8.33822</v>
      </c>
      <c r="F159" s="25">
        <f>ROUND(8.33822,5)</f>
        <v>8.33822</v>
      </c>
      <c r="G159" s="24"/>
      <c r="H159" s="36"/>
    </row>
    <row r="160" spans="1:8" ht="12.75" customHeight="1">
      <c r="A160" s="22">
        <v>42677</v>
      </c>
      <c r="B160" s="22"/>
      <c r="C160" s="25">
        <f>ROUND(8.285,5)</f>
        <v>8.285</v>
      </c>
      <c r="D160" s="25">
        <f>F160</f>
        <v>8.40577</v>
      </c>
      <c r="E160" s="25">
        <f>F160</f>
        <v>8.40577</v>
      </c>
      <c r="F160" s="25">
        <f>ROUND(8.40577,5)</f>
        <v>8.40577</v>
      </c>
      <c r="G160" s="24"/>
      <c r="H160" s="36"/>
    </row>
    <row r="161" spans="1:8" ht="12.75" customHeight="1">
      <c r="A161" s="22">
        <v>42768</v>
      </c>
      <c r="B161" s="22"/>
      <c r="C161" s="25">
        <f>ROUND(8.285,5)</f>
        <v>8.285</v>
      </c>
      <c r="D161" s="25">
        <f>F161</f>
        <v>8.44446</v>
      </c>
      <c r="E161" s="25">
        <f>F161</f>
        <v>8.44446</v>
      </c>
      <c r="F161" s="25">
        <f>ROUND(8.44446,5)</f>
        <v>8.44446</v>
      </c>
      <c r="G161" s="24"/>
      <c r="H161" s="36"/>
    </row>
    <row r="162" spans="1:8" ht="12.75" customHeight="1">
      <c r="A162" s="22">
        <v>42859</v>
      </c>
      <c r="B162" s="22"/>
      <c r="C162" s="25">
        <f>ROUND(8.285,5)</f>
        <v>8.285</v>
      </c>
      <c r="D162" s="25">
        <f>F162</f>
        <v>8.41719</v>
      </c>
      <c r="E162" s="25">
        <f>F162</f>
        <v>8.41719</v>
      </c>
      <c r="F162" s="25">
        <f>ROUND(8.41719,5)</f>
        <v>8.41719</v>
      </c>
      <c r="G162" s="24"/>
      <c r="H162" s="36"/>
    </row>
    <row r="163" spans="1:8" ht="12.75" customHeight="1">
      <c r="A163" s="22">
        <v>42950</v>
      </c>
      <c r="B163" s="22"/>
      <c r="C163" s="25">
        <f>ROUND(8.285,5)</f>
        <v>8.285</v>
      </c>
      <c r="D163" s="25">
        <f>F163</f>
        <v>8.4934</v>
      </c>
      <c r="E163" s="25">
        <f>F163</f>
        <v>8.4934</v>
      </c>
      <c r="F163" s="25">
        <f>ROUND(8.4934,5)</f>
        <v>8.4934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42586</v>
      </c>
      <c r="B165" s="22"/>
      <c r="C165" s="25">
        <f>ROUND(8.58,5)</f>
        <v>8.58</v>
      </c>
      <c r="D165" s="25">
        <f>F165</f>
        <v>8.63572</v>
      </c>
      <c r="E165" s="25">
        <f>F165</f>
        <v>8.63572</v>
      </c>
      <c r="F165" s="25">
        <f>ROUND(8.63572,5)</f>
        <v>8.63572</v>
      </c>
      <c r="G165" s="24"/>
      <c r="H165" s="36"/>
    </row>
    <row r="166" spans="1:8" ht="12.75" customHeight="1">
      <c r="A166" s="22">
        <v>42677</v>
      </c>
      <c r="B166" s="22"/>
      <c r="C166" s="25">
        <f>ROUND(8.58,5)</f>
        <v>8.58</v>
      </c>
      <c r="D166" s="25">
        <f>F166</f>
        <v>8.70358</v>
      </c>
      <c r="E166" s="25">
        <f>F166</f>
        <v>8.70358</v>
      </c>
      <c r="F166" s="25">
        <f>ROUND(8.70358,5)</f>
        <v>8.70358</v>
      </c>
      <c r="G166" s="24"/>
      <c r="H166" s="36"/>
    </row>
    <row r="167" spans="1:8" ht="12.75" customHeight="1">
      <c r="A167" s="22">
        <v>42768</v>
      </c>
      <c r="B167" s="22"/>
      <c r="C167" s="25">
        <f>ROUND(8.58,5)</f>
        <v>8.58</v>
      </c>
      <c r="D167" s="25">
        <f>F167</f>
        <v>8.75416</v>
      </c>
      <c r="E167" s="25">
        <f>F167</f>
        <v>8.75416</v>
      </c>
      <c r="F167" s="25">
        <f>ROUND(8.75416,5)</f>
        <v>8.75416</v>
      </c>
      <c r="G167" s="24"/>
      <c r="H167" s="36"/>
    </row>
    <row r="168" spans="1:8" ht="12.75" customHeight="1">
      <c r="A168" s="22">
        <v>42859</v>
      </c>
      <c r="B168" s="22"/>
      <c r="C168" s="25">
        <f>ROUND(8.58,5)</f>
        <v>8.58</v>
      </c>
      <c r="D168" s="25">
        <f>F168</f>
        <v>8.77404</v>
      </c>
      <c r="E168" s="25">
        <f>F168</f>
        <v>8.77404</v>
      </c>
      <c r="F168" s="25">
        <f>ROUND(8.77404,5)</f>
        <v>8.77404</v>
      </c>
      <c r="G168" s="24"/>
      <c r="H168" s="36"/>
    </row>
    <row r="169" spans="1:8" ht="12.75" customHeight="1">
      <c r="A169" s="22">
        <v>42950</v>
      </c>
      <c r="B169" s="22"/>
      <c r="C169" s="25">
        <f>ROUND(8.58,5)</f>
        <v>8.58</v>
      </c>
      <c r="D169" s="25">
        <f>F169</f>
        <v>8.86304</v>
      </c>
      <c r="E169" s="25">
        <f>F169</f>
        <v>8.86304</v>
      </c>
      <c r="F169" s="25">
        <f>ROUND(8.86304,5)</f>
        <v>8.86304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42586</v>
      </c>
      <c r="B171" s="22"/>
      <c r="C171" s="25">
        <f>ROUND(8.735,5)</f>
        <v>8.735</v>
      </c>
      <c r="D171" s="25">
        <f>F171</f>
        <v>8.78401</v>
      </c>
      <c r="E171" s="25">
        <f>F171</f>
        <v>8.78401</v>
      </c>
      <c r="F171" s="25">
        <f>ROUND(8.78401,5)</f>
        <v>8.78401</v>
      </c>
      <c r="G171" s="24"/>
      <c r="H171" s="36"/>
    </row>
    <row r="172" spans="1:8" ht="12.75" customHeight="1">
      <c r="A172" s="22">
        <v>42677</v>
      </c>
      <c r="B172" s="22"/>
      <c r="C172" s="25">
        <f>ROUND(8.735,5)</f>
        <v>8.735</v>
      </c>
      <c r="D172" s="25">
        <f>F172</f>
        <v>8.84965</v>
      </c>
      <c r="E172" s="25">
        <f>F172</f>
        <v>8.84965</v>
      </c>
      <c r="F172" s="25">
        <f>ROUND(8.84965,5)</f>
        <v>8.84965</v>
      </c>
      <c r="G172" s="24"/>
      <c r="H172" s="36"/>
    </row>
    <row r="173" spans="1:8" ht="12.75" customHeight="1">
      <c r="A173" s="22">
        <v>42768</v>
      </c>
      <c r="B173" s="22"/>
      <c r="C173" s="25">
        <f>ROUND(8.735,5)</f>
        <v>8.735</v>
      </c>
      <c r="D173" s="25">
        <f>F173</f>
        <v>8.90097</v>
      </c>
      <c r="E173" s="25">
        <f>F173</f>
        <v>8.90097</v>
      </c>
      <c r="F173" s="25">
        <f>ROUND(8.90097,5)</f>
        <v>8.90097</v>
      </c>
      <c r="G173" s="24"/>
      <c r="H173" s="36"/>
    </row>
    <row r="174" spans="1:8" ht="12.75" customHeight="1">
      <c r="A174" s="22">
        <v>42859</v>
      </c>
      <c r="B174" s="22"/>
      <c r="C174" s="25">
        <f>ROUND(8.735,5)</f>
        <v>8.735</v>
      </c>
      <c r="D174" s="25">
        <f>F174</f>
        <v>8.92119</v>
      </c>
      <c r="E174" s="25">
        <f>F174</f>
        <v>8.92119</v>
      </c>
      <c r="F174" s="25">
        <f>ROUND(8.92119,5)</f>
        <v>8.92119</v>
      </c>
      <c r="G174" s="24"/>
      <c r="H174" s="36"/>
    </row>
    <row r="175" spans="1:8" ht="12.75" customHeight="1">
      <c r="A175" s="22">
        <v>42950</v>
      </c>
      <c r="B175" s="22"/>
      <c r="C175" s="25">
        <f>ROUND(8.735,5)</f>
        <v>8.735</v>
      </c>
      <c r="D175" s="25">
        <f>F175</f>
        <v>8.98932</v>
      </c>
      <c r="E175" s="25">
        <f>F175</f>
        <v>8.98932</v>
      </c>
      <c r="F175" s="25">
        <f>ROUND(8.98932,5)</f>
        <v>8.98932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42586</v>
      </c>
      <c r="B177" s="22"/>
      <c r="C177" s="25">
        <f>ROUND(9.655,5)</f>
        <v>9.655</v>
      </c>
      <c r="D177" s="25">
        <f>F177</f>
        <v>9.69145</v>
      </c>
      <c r="E177" s="25">
        <f>F177</f>
        <v>9.69145</v>
      </c>
      <c r="F177" s="25">
        <f>ROUND(9.69145,5)</f>
        <v>9.69145</v>
      </c>
      <c r="G177" s="24"/>
      <c r="H177" s="36"/>
    </row>
    <row r="178" spans="1:8" ht="12.75" customHeight="1">
      <c r="A178" s="22">
        <v>42677</v>
      </c>
      <c r="B178" s="22"/>
      <c r="C178" s="25">
        <f>ROUND(9.655,5)</f>
        <v>9.655</v>
      </c>
      <c r="D178" s="25">
        <f>F178</f>
        <v>9.74061</v>
      </c>
      <c r="E178" s="25">
        <f>F178</f>
        <v>9.74061</v>
      </c>
      <c r="F178" s="25">
        <f>ROUND(9.74061,5)</f>
        <v>9.74061</v>
      </c>
      <c r="G178" s="24"/>
      <c r="H178" s="36"/>
    </row>
    <row r="179" spans="1:8" ht="12.75" customHeight="1">
      <c r="A179" s="22">
        <v>42768</v>
      </c>
      <c r="B179" s="22"/>
      <c r="C179" s="25">
        <f>ROUND(9.655,5)</f>
        <v>9.655</v>
      </c>
      <c r="D179" s="25">
        <f>F179</f>
        <v>9.78322</v>
      </c>
      <c r="E179" s="25">
        <f>F179</f>
        <v>9.78322</v>
      </c>
      <c r="F179" s="25">
        <f>ROUND(9.78322,5)</f>
        <v>9.78322</v>
      </c>
      <c r="G179" s="24"/>
      <c r="H179" s="36"/>
    </row>
    <row r="180" spans="1:8" ht="12.75" customHeight="1">
      <c r="A180" s="22">
        <v>42859</v>
      </c>
      <c r="B180" s="22"/>
      <c r="C180" s="25">
        <f>ROUND(9.655,5)</f>
        <v>9.655</v>
      </c>
      <c r="D180" s="25">
        <f>F180</f>
        <v>9.81371</v>
      </c>
      <c r="E180" s="25">
        <f>F180</f>
        <v>9.81371</v>
      </c>
      <c r="F180" s="25">
        <f>ROUND(9.81371,5)</f>
        <v>9.81371</v>
      </c>
      <c r="G180" s="24"/>
      <c r="H180" s="36"/>
    </row>
    <row r="181" spans="1:8" ht="12.75" customHeight="1">
      <c r="A181" s="22">
        <v>42950</v>
      </c>
      <c r="B181" s="22"/>
      <c r="C181" s="25">
        <f>ROUND(9.655,5)</f>
        <v>9.655</v>
      </c>
      <c r="D181" s="25">
        <f>F181</f>
        <v>9.86052</v>
      </c>
      <c r="E181" s="25">
        <f>F181</f>
        <v>9.86052</v>
      </c>
      <c r="F181" s="25">
        <f>ROUND(9.86052,5)</f>
        <v>9.86052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42586</v>
      </c>
      <c r="B183" s="22"/>
      <c r="C183" s="25">
        <f>ROUND(1.78,5)</f>
        <v>1.78</v>
      </c>
      <c r="D183" s="25">
        <f>F183</f>
        <v>187.60503</v>
      </c>
      <c r="E183" s="25">
        <f>F183</f>
        <v>187.60503</v>
      </c>
      <c r="F183" s="25">
        <f>ROUND(187.60503,5)</f>
        <v>187.60503</v>
      </c>
      <c r="G183" s="24"/>
      <c r="H183" s="36"/>
    </row>
    <row r="184" spans="1:8" ht="12.75" customHeight="1">
      <c r="A184" s="22">
        <v>42677</v>
      </c>
      <c r="B184" s="22"/>
      <c r="C184" s="25">
        <f>ROUND(1.78,5)</f>
        <v>1.78</v>
      </c>
      <c r="D184" s="25">
        <f>F184</f>
        <v>188.90479</v>
      </c>
      <c r="E184" s="25">
        <f>F184</f>
        <v>188.90479</v>
      </c>
      <c r="F184" s="25">
        <f>ROUND(188.90479,5)</f>
        <v>188.90479</v>
      </c>
      <c r="G184" s="24"/>
      <c r="H184" s="36"/>
    </row>
    <row r="185" spans="1:8" ht="12.75" customHeight="1">
      <c r="A185" s="22">
        <v>42768</v>
      </c>
      <c r="B185" s="22"/>
      <c r="C185" s="25">
        <f>ROUND(1.78,5)</f>
        <v>1.78</v>
      </c>
      <c r="D185" s="25">
        <f>F185</f>
        <v>192.71401</v>
      </c>
      <c r="E185" s="25">
        <f>F185</f>
        <v>192.71401</v>
      </c>
      <c r="F185" s="25">
        <f>ROUND(192.71401,5)</f>
        <v>192.71401</v>
      </c>
      <c r="G185" s="24"/>
      <c r="H185" s="36"/>
    </row>
    <row r="186" spans="1:8" ht="12.75" customHeight="1">
      <c r="A186" s="22">
        <v>42859</v>
      </c>
      <c r="B186" s="22"/>
      <c r="C186" s="25">
        <f>ROUND(1.78,5)</f>
        <v>1.78</v>
      </c>
      <c r="D186" s="25">
        <f>F186</f>
        <v>194.50107</v>
      </c>
      <c r="E186" s="25">
        <f>F186</f>
        <v>194.50107</v>
      </c>
      <c r="F186" s="25">
        <f>ROUND(194.50107,5)</f>
        <v>194.50107</v>
      </c>
      <c r="G186" s="24"/>
      <c r="H186" s="36"/>
    </row>
    <row r="187" spans="1:8" ht="12.75" customHeight="1">
      <c r="A187" s="22">
        <v>42950</v>
      </c>
      <c r="B187" s="22"/>
      <c r="C187" s="25">
        <f>ROUND(1.78,5)</f>
        <v>1.78</v>
      </c>
      <c r="D187" s="25">
        <f>F187</f>
        <v>198.37249</v>
      </c>
      <c r="E187" s="25">
        <f>F187</f>
        <v>198.37249</v>
      </c>
      <c r="F187" s="25">
        <f>ROUND(198.37249,5)</f>
        <v>198.37249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42586</v>
      </c>
      <c r="B189" s="22"/>
      <c r="C189" s="25">
        <f>ROUND(0.75,5)</f>
        <v>0.75</v>
      </c>
      <c r="D189" s="25">
        <f>F189</f>
        <v>139.94049</v>
      </c>
      <c r="E189" s="25">
        <f>F189</f>
        <v>139.94049</v>
      </c>
      <c r="F189" s="25">
        <f>ROUND(139.94049,5)</f>
        <v>139.94049</v>
      </c>
      <c r="G189" s="24"/>
      <c r="H189" s="36"/>
    </row>
    <row r="190" spans="1:8" ht="12.75" customHeight="1">
      <c r="A190" s="22">
        <v>42677</v>
      </c>
      <c r="B190" s="22"/>
      <c r="C190" s="25">
        <f>ROUND(0.75,5)</f>
        <v>0.75</v>
      </c>
      <c r="D190" s="25">
        <f>F190</f>
        <v>142.61264</v>
      </c>
      <c r="E190" s="25">
        <f>F190</f>
        <v>142.61264</v>
      </c>
      <c r="F190" s="25">
        <f>ROUND(142.61264,5)</f>
        <v>142.61264</v>
      </c>
      <c r="G190" s="24"/>
      <c r="H190" s="36"/>
    </row>
    <row r="191" spans="1:8" ht="12.75" customHeight="1">
      <c r="A191" s="22">
        <v>42768</v>
      </c>
      <c r="B191" s="22"/>
      <c r="C191" s="25">
        <f>ROUND(0.75,5)</f>
        <v>0.75</v>
      </c>
      <c r="D191" s="25">
        <f>F191</f>
        <v>141.66256</v>
      </c>
      <c r="E191" s="25">
        <f>F191</f>
        <v>141.66256</v>
      </c>
      <c r="F191" s="25">
        <f>ROUND(141.66256,5)</f>
        <v>141.66256</v>
      </c>
      <c r="G191" s="24"/>
      <c r="H191" s="36"/>
    </row>
    <row r="192" spans="1:8" ht="12.75" customHeight="1">
      <c r="A192" s="22">
        <v>42859</v>
      </c>
      <c r="B192" s="22"/>
      <c r="C192" s="25">
        <f>ROUND(0.75,5)</f>
        <v>0.75</v>
      </c>
      <c r="D192" s="25">
        <f>F192</f>
        <v>141.66256</v>
      </c>
      <c r="E192" s="25">
        <f>F192</f>
        <v>141.66256</v>
      </c>
      <c r="F192" s="25">
        <f>ROUND(141.66256,5)</f>
        <v>141.66256</v>
      </c>
      <c r="G192" s="24"/>
      <c r="H192" s="36"/>
    </row>
    <row r="193" spans="1:8" ht="12.75" customHeight="1">
      <c r="A193" s="22">
        <v>42950</v>
      </c>
      <c r="B193" s="22"/>
      <c r="C193" s="25">
        <f>ROUND(0.75,5)</f>
        <v>0.75</v>
      </c>
      <c r="D193" s="25">
        <f>F193</f>
        <v>141.66256</v>
      </c>
      <c r="E193" s="25">
        <f>F193</f>
        <v>141.66256</v>
      </c>
      <c r="F193" s="25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42586</v>
      </c>
      <c r="B195" s="22"/>
      <c r="C195" s="25">
        <f>ROUND(1.685,5)</f>
        <v>1.685</v>
      </c>
      <c r="D195" s="25">
        <f>F195</f>
        <v>145.94289</v>
      </c>
      <c r="E195" s="25">
        <f>F195</f>
        <v>145.94289</v>
      </c>
      <c r="F195" s="25">
        <f>ROUND(145.94289,5)</f>
        <v>145.94289</v>
      </c>
      <c r="G195" s="24"/>
      <c r="H195" s="36"/>
    </row>
    <row r="196" spans="1:8" ht="12.75" customHeight="1">
      <c r="A196" s="22">
        <v>42677</v>
      </c>
      <c r="B196" s="22"/>
      <c r="C196" s="25">
        <f>ROUND(1.685,5)</f>
        <v>1.685</v>
      </c>
      <c r="D196" s="25">
        <f>F196</f>
        <v>148.72972</v>
      </c>
      <c r="E196" s="25">
        <f>F196</f>
        <v>148.72972</v>
      </c>
      <c r="F196" s="25">
        <f>ROUND(148.72972,5)</f>
        <v>148.72972</v>
      </c>
      <c r="G196" s="24"/>
      <c r="H196" s="36"/>
    </row>
    <row r="197" spans="1:8" ht="12.75" customHeight="1">
      <c r="A197" s="22">
        <v>42768</v>
      </c>
      <c r="B197" s="22"/>
      <c r="C197" s="25">
        <f>ROUND(1.685,5)</f>
        <v>1.685</v>
      </c>
      <c r="D197" s="25">
        <f>F197</f>
        <v>149.76427</v>
      </c>
      <c r="E197" s="25">
        <f>F197</f>
        <v>149.76427</v>
      </c>
      <c r="F197" s="25">
        <f>ROUND(149.76427,5)</f>
        <v>149.76427</v>
      </c>
      <c r="G197" s="24"/>
      <c r="H197" s="36"/>
    </row>
    <row r="198" spans="1:8" ht="12.75" customHeight="1">
      <c r="A198" s="22">
        <v>42859</v>
      </c>
      <c r="B198" s="22"/>
      <c r="C198" s="25">
        <f>ROUND(1.685,5)</f>
        <v>1.685</v>
      </c>
      <c r="D198" s="25">
        <f>F198</f>
        <v>152.96179</v>
      </c>
      <c r="E198" s="25">
        <f>F198</f>
        <v>152.96179</v>
      </c>
      <c r="F198" s="25">
        <f>ROUND(152.96179,5)</f>
        <v>152.96179</v>
      </c>
      <c r="G198" s="24"/>
      <c r="H198" s="36"/>
    </row>
    <row r="199" spans="1:8" ht="12.75" customHeight="1">
      <c r="A199" s="22">
        <v>42950</v>
      </c>
      <c r="B199" s="22"/>
      <c r="C199" s="25">
        <f>ROUND(1.685,5)</f>
        <v>1.685</v>
      </c>
      <c r="D199" s="25">
        <f>F199</f>
        <v>156.00682</v>
      </c>
      <c r="E199" s="25">
        <f>F199</f>
        <v>156.00682</v>
      </c>
      <c r="F199" s="25">
        <f>ROUND(156.00682,5)</f>
        <v>156.00682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42586</v>
      </c>
      <c r="B201" s="22"/>
      <c r="C201" s="25">
        <f>ROUND(9.58,5)</f>
        <v>9.58</v>
      </c>
      <c r="D201" s="25">
        <f>F201</f>
        <v>9.61838</v>
      </c>
      <c r="E201" s="25">
        <f>F201</f>
        <v>9.61838</v>
      </c>
      <c r="F201" s="25">
        <f>ROUND(9.61838,5)</f>
        <v>9.61838</v>
      </c>
      <c r="G201" s="24"/>
      <c r="H201" s="36"/>
    </row>
    <row r="202" spans="1:8" ht="12.75" customHeight="1">
      <c r="A202" s="22">
        <v>42677</v>
      </c>
      <c r="B202" s="22"/>
      <c r="C202" s="25">
        <f>ROUND(9.58,5)</f>
        <v>9.58</v>
      </c>
      <c r="D202" s="25">
        <f>F202</f>
        <v>9.67339</v>
      </c>
      <c r="E202" s="25">
        <f>F202</f>
        <v>9.67339</v>
      </c>
      <c r="F202" s="25">
        <f>ROUND(9.67339,5)</f>
        <v>9.67339</v>
      </c>
      <c r="G202" s="24"/>
      <c r="H202" s="36"/>
    </row>
    <row r="203" spans="1:8" ht="12.75" customHeight="1">
      <c r="A203" s="22">
        <v>42768</v>
      </c>
      <c r="B203" s="22"/>
      <c r="C203" s="25">
        <f>ROUND(9.58,5)</f>
        <v>9.58</v>
      </c>
      <c r="D203" s="25">
        <f>F203</f>
        <v>9.72266</v>
      </c>
      <c r="E203" s="25">
        <f>F203</f>
        <v>9.72266</v>
      </c>
      <c r="F203" s="25">
        <f>ROUND(9.72266,5)</f>
        <v>9.72266</v>
      </c>
      <c r="G203" s="24"/>
      <c r="H203" s="36"/>
    </row>
    <row r="204" spans="1:8" ht="12.75" customHeight="1">
      <c r="A204" s="22">
        <v>42859</v>
      </c>
      <c r="B204" s="22"/>
      <c r="C204" s="25">
        <f>ROUND(9.58,5)</f>
        <v>9.58</v>
      </c>
      <c r="D204" s="25">
        <f>F204</f>
        <v>9.7544</v>
      </c>
      <c r="E204" s="25">
        <f>F204</f>
        <v>9.7544</v>
      </c>
      <c r="F204" s="25">
        <f>ROUND(9.7544,5)</f>
        <v>9.7544</v>
      </c>
      <c r="G204" s="24"/>
      <c r="H204" s="36"/>
    </row>
    <row r="205" spans="1:8" ht="12.75" customHeight="1">
      <c r="A205" s="22">
        <v>42950</v>
      </c>
      <c r="B205" s="22"/>
      <c r="C205" s="25">
        <f>ROUND(9.58,5)</f>
        <v>9.58</v>
      </c>
      <c r="D205" s="25">
        <f>F205</f>
        <v>9.80571</v>
      </c>
      <c r="E205" s="25">
        <f>F205</f>
        <v>9.80571</v>
      </c>
      <c r="F205" s="25">
        <f>ROUND(9.80571,5)</f>
        <v>9.80571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42586</v>
      </c>
      <c r="B207" s="22"/>
      <c r="C207" s="25">
        <f>ROUND(9.765,5)</f>
        <v>9.765</v>
      </c>
      <c r="D207" s="25">
        <f>F207</f>
        <v>9.80038</v>
      </c>
      <c r="E207" s="25">
        <f>F207</f>
        <v>9.80038</v>
      </c>
      <c r="F207" s="25">
        <f>ROUND(9.80038,5)</f>
        <v>9.80038</v>
      </c>
      <c r="G207" s="24"/>
      <c r="H207" s="36"/>
    </row>
    <row r="208" spans="1:8" ht="12.75" customHeight="1">
      <c r="A208" s="22">
        <v>42677</v>
      </c>
      <c r="B208" s="22"/>
      <c r="C208" s="25">
        <f>ROUND(9.765,5)</f>
        <v>9.765</v>
      </c>
      <c r="D208" s="25">
        <f>F208</f>
        <v>9.85077</v>
      </c>
      <c r="E208" s="25">
        <f>F208</f>
        <v>9.85077</v>
      </c>
      <c r="F208" s="25">
        <f>ROUND(9.85077,5)</f>
        <v>9.85077</v>
      </c>
      <c r="G208" s="24"/>
      <c r="H208" s="36"/>
    </row>
    <row r="209" spans="1:8" ht="12.75" customHeight="1">
      <c r="A209" s="22">
        <v>42768</v>
      </c>
      <c r="B209" s="22"/>
      <c r="C209" s="25">
        <f>ROUND(9.765,5)</f>
        <v>9.765</v>
      </c>
      <c r="D209" s="25">
        <f>F209</f>
        <v>9.89624</v>
      </c>
      <c r="E209" s="25">
        <f>F209</f>
        <v>9.89624</v>
      </c>
      <c r="F209" s="25">
        <f>ROUND(9.89624,5)</f>
        <v>9.89624</v>
      </c>
      <c r="G209" s="24"/>
      <c r="H209" s="36"/>
    </row>
    <row r="210" spans="1:8" ht="12.75" customHeight="1">
      <c r="A210" s="22">
        <v>42859</v>
      </c>
      <c r="B210" s="22"/>
      <c r="C210" s="25">
        <f>ROUND(9.765,5)</f>
        <v>9.765</v>
      </c>
      <c r="D210" s="25">
        <f>F210</f>
        <v>9.92676</v>
      </c>
      <c r="E210" s="25">
        <f>F210</f>
        <v>9.92676</v>
      </c>
      <c r="F210" s="25">
        <f>ROUND(9.92676,5)</f>
        <v>9.92676</v>
      </c>
      <c r="G210" s="24"/>
      <c r="H210" s="36"/>
    </row>
    <row r="211" spans="1:8" ht="12.75" customHeight="1">
      <c r="A211" s="22">
        <v>42950</v>
      </c>
      <c r="B211" s="22"/>
      <c r="C211" s="25">
        <f>ROUND(9.765,5)</f>
        <v>9.765</v>
      </c>
      <c r="D211" s="25">
        <f>F211</f>
        <v>9.97331</v>
      </c>
      <c r="E211" s="25">
        <f>F211</f>
        <v>9.97331</v>
      </c>
      <c r="F211" s="25">
        <f>ROUND(9.97331,5)</f>
        <v>9.97331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42586</v>
      </c>
      <c r="B213" s="22"/>
      <c r="C213" s="25">
        <f>ROUND(9.835,5)</f>
        <v>9.835</v>
      </c>
      <c r="D213" s="25">
        <f>F213</f>
        <v>9.87207</v>
      </c>
      <c r="E213" s="25">
        <f>F213</f>
        <v>9.87207</v>
      </c>
      <c r="F213" s="25">
        <f>ROUND(9.87207,5)</f>
        <v>9.87207</v>
      </c>
      <c r="G213" s="24"/>
      <c r="H213" s="36"/>
    </row>
    <row r="214" spans="1:8" ht="12.75" customHeight="1">
      <c r="A214" s="22">
        <v>42677</v>
      </c>
      <c r="B214" s="22"/>
      <c r="C214" s="25">
        <f>ROUND(9.835,5)</f>
        <v>9.835</v>
      </c>
      <c r="D214" s="25">
        <f>F214</f>
        <v>9.92489</v>
      </c>
      <c r="E214" s="25">
        <f>F214</f>
        <v>9.92489</v>
      </c>
      <c r="F214" s="25">
        <f>ROUND(9.92489,5)</f>
        <v>9.92489</v>
      </c>
      <c r="G214" s="24"/>
      <c r="H214" s="36"/>
    </row>
    <row r="215" spans="1:8" ht="12.75" customHeight="1">
      <c r="A215" s="22">
        <v>42768</v>
      </c>
      <c r="B215" s="22"/>
      <c r="C215" s="25">
        <f>ROUND(9.835,5)</f>
        <v>9.835</v>
      </c>
      <c r="D215" s="25">
        <f>F215</f>
        <v>9.97287</v>
      </c>
      <c r="E215" s="25">
        <f>F215</f>
        <v>9.97287</v>
      </c>
      <c r="F215" s="25">
        <f>ROUND(9.97287,5)</f>
        <v>9.97287</v>
      </c>
      <c r="G215" s="24"/>
      <c r="H215" s="36"/>
    </row>
    <row r="216" spans="1:8" ht="12.75" customHeight="1">
      <c r="A216" s="22">
        <v>42859</v>
      </c>
      <c r="B216" s="22"/>
      <c r="C216" s="25">
        <f>ROUND(9.835,5)</f>
        <v>9.835</v>
      </c>
      <c r="D216" s="25">
        <f>F216</f>
        <v>10.00569</v>
      </c>
      <c r="E216" s="25">
        <f>F216</f>
        <v>10.00569</v>
      </c>
      <c r="F216" s="25">
        <f>ROUND(10.00569,5)</f>
        <v>10.00569</v>
      </c>
      <c r="G216" s="24"/>
      <c r="H216" s="36"/>
    </row>
    <row r="217" spans="1:8" ht="12.75" customHeight="1">
      <c r="A217" s="22">
        <v>42950</v>
      </c>
      <c r="B217" s="22"/>
      <c r="C217" s="25">
        <f>ROUND(9.835,5)</f>
        <v>9.835</v>
      </c>
      <c r="D217" s="25">
        <f>F217</f>
        <v>10.05488</v>
      </c>
      <c r="E217" s="25">
        <f>F217</f>
        <v>10.05488</v>
      </c>
      <c r="F217" s="25">
        <f>ROUND(10.05488,5)</f>
        <v>10.05488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42551</v>
      </c>
      <c r="B219" s="22"/>
      <c r="C219" s="26">
        <f>ROUND(17.33773005,4)</f>
        <v>17.3377</v>
      </c>
      <c r="D219" s="26">
        <f>F219</f>
        <v>17.4272</v>
      </c>
      <c r="E219" s="26">
        <f>F219</f>
        <v>17.4272</v>
      </c>
      <c r="F219" s="26">
        <f>ROUND(17.4272,4)</f>
        <v>17.4272</v>
      </c>
      <c r="G219" s="24"/>
      <c r="H219" s="36"/>
    </row>
    <row r="220" spans="1:8" ht="12.75" customHeight="1">
      <c r="A220" s="22" t="s">
        <v>61</v>
      </c>
      <c r="B220" s="22"/>
      <c r="C220" s="23"/>
      <c r="D220" s="23"/>
      <c r="E220" s="23"/>
      <c r="F220" s="23"/>
      <c r="G220" s="24"/>
      <c r="H220" s="36"/>
    </row>
    <row r="221" spans="1:8" ht="12.75" customHeight="1">
      <c r="A221" s="22">
        <v>42621</v>
      </c>
      <c r="B221" s="22"/>
      <c r="C221" s="26">
        <f>ROUND(22.2104816833333,4)</f>
        <v>22.2105</v>
      </c>
      <c r="D221" s="26">
        <f>F221</f>
        <v>22.6403</v>
      </c>
      <c r="E221" s="26">
        <f>F221</f>
        <v>22.6403</v>
      </c>
      <c r="F221" s="26">
        <f>ROUND(22.6403,4)</f>
        <v>22.6403</v>
      </c>
      <c r="G221" s="24"/>
      <c r="H221" s="36"/>
    </row>
    <row r="222" spans="1:8" ht="12.75" customHeight="1">
      <c r="A222" s="22">
        <v>42850</v>
      </c>
      <c r="B222" s="22"/>
      <c r="C222" s="26">
        <f>ROUND(22.2104816833333,4)</f>
        <v>22.2105</v>
      </c>
      <c r="D222" s="26">
        <f>F222</f>
        <v>23.7666</v>
      </c>
      <c r="E222" s="26">
        <f>F222</f>
        <v>23.7666</v>
      </c>
      <c r="F222" s="26">
        <f>ROUND(23.7666,4)</f>
        <v>23.7666</v>
      </c>
      <c r="G222" s="24"/>
      <c r="H222" s="36"/>
    </row>
    <row r="223" spans="1:8" ht="12.75" customHeight="1">
      <c r="A223" s="22" t="s">
        <v>62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42527</v>
      </c>
      <c r="B224" s="22"/>
      <c r="C224" s="26">
        <f>ROUND(15.3026666666667,4)</f>
        <v>15.3027</v>
      </c>
      <c r="D224" s="26">
        <f>F224</f>
        <v>15.3056</v>
      </c>
      <c r="E224" s="26">
        <f>F224</f>
        <v>15.3056</v>
      </c>
      <c r="F224" s="26">
        <f>ROUND(15.3056,4)</f>
        <v>15.3056</v>
      </c>
      <c r="G224" s="24"/>
      <c r="H224" s="36"/>
    </row>
    <row r="225" spans="1:8" ht="12.75" customHeight="1">
      <c r="A225" s="22">
        <v>42528</v>
      </c>
      <c r="B225" s="22"/>
      <c r="C225" s="26">
        <f>ROUND(15.3026666666667,4)</f>
        <v>15.3027</v>
      </c>
      <c r="D225" s="26">
        <f>F225</f>
        <v>15.3056</v>
      </c>
      <c r="E225" s="26">
        <f>F225</f>
        <v>15.3056</v>
      </c>
      <c r="F225" s="26">
        <f>ROUND(15.3056,4)</f>
        <v>15.3056</v>
      </c>
      <c r="G225" s="24"/>
      <c r="H225" s="36"/>
    </row>
    <row r="226" spans="1:8" ht="12.75" customHeight="1">
      <c r="A226" s="22">
        <v>42529</v>
      </c>
      <c r="B226" s="22"/>
      <c r="C226" s="26">
        <f>ROUND(15.3026666666667,4)</f>
        <v>15.3027</v>
      </c>
      <c r="D226" s="26">
        <f>F226</f>
        <v>15.3056</v>
      </c>
      <c r="E226" s="26">
        <f>F226</f>
        <v>15.3056</v>
      </c>
      <c r="F226" s="26">
        <f>ROUND(15.3056,4)</f>
        <v>15.3056</v>
      </c>
      <c r="G226" s="24"/>
      <c r="H226" s="36"/>
    </row>
    <row r="227" spans="1:8" ht="12.75" customHeight="1">
      <c r="A227" s="22">
        <v>42530</v>
      </c>
      <c r="B227" s="22"/>
      <c r="C227" s="26">
        <f>ROUND(15.3026666666667,4)</f>
        <v>15.3027</v>
      </c>
      <c r="D227" s="26">
        <f>F227</f>
        <v>15.3087</v>
      </c>
      <c r="E227" s="26">
        <f>F227</f>
        <v>15.3087</v>
      </c>
      <c r="F227" s="26">
        <f>ROUND(15.3087,4)</f>
        <v>15.3087</v>
      </c>
      <c r="G227" s="24"/>
      <c r="H227" s="36"/>
    </row>
    <row r="228" spans="1:8" ht="12.75" customHeight="1">
      <c r="A228" s="22">
        <v>42535</v>
      </c>
      <c r="B228" s="22"/>
      <c r="C228" s="26">
        <f>ROUND(15.3026666666667,4)</f>
        <v>15.3027</v>
      </c>
      <c r="D228" s="26">
        <f>F228</f>
        <v>15.3242</v>
      </c>
      <c r="E228" s="26">
        <f>F228</f>
        <v>15.3242</v>
      </c>
      <c r="F228" s="26">
        <f>ROUND(15.3242,4)</f>
        <v>15.3242</v>
      </c>
      <c r="G228" s="24"/>
      <c r="H228" s="36"/>
    </row>
    <row r="229" spans="1:8" ht="12.75" customHeight="1">
      <c r="A229" s="22">
        <v>42536</v>
      </c>
      <c r="B229" s="22"/>
      <c r="C229" s="26">
        <f>ROUND(15.3026666666667,4)</f>
        <v>15.3027</v>
      </c>
      <c r="D229" s="26">
        <f>F229</f>
        <v>15.3273</v>
      </c>
      <c r="E229" s="26">
        <f>F229</f>
        <v>15.3273</v>
      </c>
      <c r="F229" s="26">
        <f>ROUND(15.3273,4)</f>
        <v>15.3273</v>
      </c>
      <c r="G229" s="24"/>
      <c r="H229" s="36"/>
    </row>
    <row r="230" spans="1:8" ht="12.75" customHeight="1">
      <c r="A230" s="22">
        <v>42538</v>
      </c>
      <c r="B230" s="22"/>
      <c r="C230" s="26">
        <f>ROUND(15.3026666666667,4)</f>
        <v>15.3027</v>
      </c>
      <c r="D230" s="26">
        <f>F230</f>
        <v>15.3335</v>
      </c>
      <c r="E230" s="26">
        <f>F230</f>
        <v>15.3335</v>
      </c>
      <c r="F230" s="26">
        <f>ROUND(15.3335,4)</f>
        <v>15.3335</v>
      </c>
      <c r="G230" s="24"/>
      <c r="H230" s="36"/>
    </row>
    <row r="231" spans="1:8" ht="12.75" customHeight="1">
      <c r="A231" s="22">
        <v>42542</v>
      </c>
      <c r="B231" s="22"/>
      <c r="C231" s="26">
        <f>ROUND(15.3026666666667,4)</f>
        <v>15.3027</v>
      </c>
      <c r="D231" s="26">
        <f>F231</f>
        <v>15.3458</v>
      </c>
      <c r="E231" s="26">
        <f>F231</f>
        <v>15.3458</v>
      </c>
      <c r="F231" s="26">
        <f>ROUND(15.3458,4)</f>
        <v>15.3458</v>
      </c>
      <c r="G231" s="24"/>
      <c r="H231" s="36"/>
    </row>
    <row r="232" spans="1:8" ht="12.75" customHeight="1">
      <c r="A232" s="22">
        <v>42545</v>
      </c>
      <c r="B232" s="22"/>
      <c r="C232" s="26">
        <f>ROUND(15.3026666666667,4)</f>
        <v>15.3027</v>
      </c>
      <c r="D232" s="26">
        <f>F232</f>
        <v>15.355</v>
      </c>
      <c r="E232" s="26">
        <f>F232</f>
        <v>15.355</v>
      </c>
      <c r="F232" s="26">
        <f>ROUND(15.355,4)</f>
        <v>15.355</v>
      </c>
      <c r="G232" s="24"/>
      <c r="H232" s="36"/>
    </row>
    <row r="233" spans="1:8" ht="12.75" customHeight="1">
      <c r="A233" s="22">
        <v>42549</v>
      </c>
      <c r="B233" s="22"/>
      <c r="C233" s="26">
        <f>ROUND(15.3026666666667,4)</f>
        <v>15.3027</v>
      </c>
      <c r="D233" s="26">
        <f>F233</f>
        <v>15.3673</v>
      </c>
      <c r="E233" s="26">
        <f>F233</f>
        <v>15.3673</v>
      </c>
      <c r="F233" s="26">
        <f>ROUND(15.3673,4)</f>
        <v>15.3673</v>
      </c>
      <c r="G233" s="24"/>
      <c r="H233" s="36"/>
    </row>
    <row r="234" spans="1:8" ht="12.75" customHeight="1">
      <c r="A234" s="22">
        <v>42550</v>
      </c>
      <c r="B234" s="22"/>
      <c r="C234" s="26">
        <f>ROUND(15.3026666666667,4)</f>
        <v>15.3027</v>
      </c>
      <c r="D234" s="26">
        <f>F234</f>
        <v>15.3704</v>
      </c>
      <c r="E234" s="26">
        <f>F234</f>
        <v>15.3704</v>
      </c>
      <c r="F234" s="26">
        <f>ROUND(15.3704,4)</f>
        <v>15.3704</v>
      </c>
      <c r="G234" s="24"/>
      <c r="H234" s="36"/>
    </row>
    <row r="235" spans="1:8" ht="12.75" customHeight="1">
      <c r="A235" s="22">
        <v>42551</v>
      </c>
      <c r="B235" s="22"/>
      <c r="C235" s="26">
        <f>ROUND(15.3026666666667,4)</f>
        <v>15.3027</v>
      </c>
      <c r="D235" s="26">
        <f>F235</f>
        <v>15.3734</v>
      </c>
      <c r="E235" s="26">
        <f>F235</f>
        <v>15.3734</v>
      </c>
      <c r="F235" s="26">
        <f>ROUND(15.3734,4)</f>
        <v>15.3734</v>
      </c>
      <c r="G235" s="24"/>
      <c r="H235" s="36"/>
    </row>
    <row r="236" spans="1:8" ht="12.75" customHeight="1">
      <c r="A236" s="22">
        <v>42552</v>
      </c>
      <c r="B236" s="22"/>
      <c r="C236" s="26">
        <f>ROUND(15.3026666666667,4)</f>
        <v>15.3027</v>
      </c>
      <c r="D236" s="26">
        <f>F236</f>
        <v>15.3765</v>
      </c>
      <c r="E236" s="26">
        <f>F236</f>
        <v>15.3765</v>
      </c>
      <c r="F236" s="26">
        <f>ROUND(15.3765,4)</f>
        <v>15.3765</v>
      </c>
      <c r="G236" s="24"/>
      <c r="H236" s="36"/>
    </row>
    <row r="237" spans="1:8" ht="12.75" customHeight="1">
      <c r="A237" s="22">
        <v>42556</v>
      </c>
      <c r="B237" s="22"/>
      <c r="C237" s="26">
        <f>ROUND(15.3026666666667,4)</f>
        <v>15.3027</v>
      </c>
      <c r="D237" s="26">
        <f>F237</f>
        <v>15.3888</v>
      </c>
      <c r="E237" s="26">
        <f>F237</f>
        <v>15.3888</v>
      </c>
      <c r="F237" s="26">
        <f>ROUND(15.3888,4)</f>
        <v>15.3888</v>
      </c>
      <c r="G237" s="24"/>
      <c r="H237" s="36"/>
    </row>
    <row r="238" spans="1:8" ht="12.75" customHeight="1">
      <c r="A238" s="22">
        <v>42563</v>
      </c>
      <c r="B238" s="22"/>
      <c r="C238" s="26">
        <f>ROUND(15.3026666666667,4)</f>
        <v>15.3027</v>
      </c>
      <c r="D238" s="26">
        <f>F238</f>
        <v>15.4103</v>
      </c>
      <c r="E238" s="26">
        <f>F238</f>
        <v>15.4103</v>
      </c>
      <c r="F238" s="26">
        <f>ROUND(15.4103,4)</f>
        <v>15.4103</v>
      </c>
      <c r="G238" s="24"/>
      <c r="H238" s="36"/>
    </row>
    <row r="239" spans="1:8" ht="12.75" customHeight="1">
      <c r="A239" s="22">
        <v>42566</v>
      </c>
      <c r="B239" s="22"/>
      <c r="C239" s="26">
        <f>ROUND(15.3026666666667,4)</f>
        <v>15.3027</v>
      </c>
      <c r="D239" s="26">
        <f>F239</f>
        <v>15.4195</v>
      </c>
      <c r="E239" s="26">
        <f>F239</f>
        <v>15.4195</v>
      </c>
      <c r="F239" s="26">
        <f>ROUND(15.4195,4)</f>
        <v>15.4195</v>
      </c>
      <c r="G239" s="24"/>
      <c r="H239" s="36"/>
    </row>
    <row r="240" spans="1:8" ht="12.75" customHeight="1">
      <c r="A240" s="22">
        <v>42577</v>
      </c>
      <c r="B240" s="22"/>
      <c r="C240" s="26">
        <f>ROUND(15.3026666666667,4)</f>
        <v>15.3027</v>
      </c>
      <c r="D240" s="26">
        <f>F240</f>
        <v>15.4533</v>
      </c>
      <c r="E240" s="26">
        <f>F240</f>
        <v>15.4533</v>
      </c>
      <c r="F240" s="26">
        <f>ROUND(15.4533,4)</f>
        <v>15.4533</v>
      </c>
      <c r="G240" s="24"/>
      <c r="H240" s="36"/>
    </row>
    <row r="241" spans="1:8" ht="12.75" customHeight="1">
      <c r="A241" s="22">
        <v>42578</v>
      </c>
      <c r="B241" s="22"/>
      <c r="C241" s="26">
        <f>ROUND(15.3026666666667,4)</f>
        <v>15.3027</v>
      </c>
      <c r="D241" s="26">
        <f>F241</f>
        <v>15.4564</v>
      </c>
      <c r="E241" s="26">
        <f>F241</f>
        <v>15.4564</v>
      </c>
      <c r="F241" s="26">
        <f>ROUND(15.4564,4)</f>
        <v>15.4564</v>
      </c>
      <c r="G241" s="24"/>
      <c r="H241" s="36"/>
    </row>
    <row r="242" spans="1:8" ht="12.75" customHeight="1">
      <c r="A242" s="22">
        <v>42579</v>
      </c>
      <c r="B242" s="22"/>
      <c r="C242" s="26">
        <f>ROUND(15.3026666666667,4)</f>
        <v>15.3027</v>
      </c>
      <c r="D242" s="26">
        <f>F242</f>
        <v>15.4595</v>
      </c>
      <c r="E242" s="26">
        <f>F242</f>
        <v>15.4595</v>
      </c>
      <c r="F242" s="26">
        <f>ROUND(15.4595,4)</f>
        <v>15.4595</v>
      </c>
      <c r="G242" s="24"/>
      <c r="H242" s="36"/>
    </row>
    <row r="243" spans="1:8" ht="12.75" customHeight="1">
      <c r="A243" s="22">
        <v>42580</v>
      </c>
      <c r="B243" s="22"/>
      <c r="C243" s="26">
        <f>ROUND(15.3026666666667,4)</f>
        <v>15.3027</v>
      </c>
      <c r="D243" s="26">
        <f>F243</f>
        <v>15.4626</v>
      </c>
      <c r="E243" s="26">
        <f>F243</f>
        <v>15.4626</v>
      </c>
      <c r="F243" s="26">
        <f>ROUND(15.4626,4)</f>
        <v>15.4626</v>
      </c>
      <c r="G243" s="24"/>
      <c r="H243" s="36"/>
    </row>
    <row r="244" spans="1:8" ht="12.75" customHeight="1">
      <c r="A244" s="22">
        <v>42587</v>
      </c>
      <c r="B244" s="22"/>
      <c r="C244" s="26">
        <f>ROUND(15.3026666666667,4)</f>
        <v>15.3027</v>
      </c>
      <c r="D244" s="26">
        <f>F244</f>
        <v>15.4841</v>
      </c>
      <c r="E244" s="26">
        <f>F244</f>
        <v>15.4841</v>
      </c>
      <c r="F244" s="26">
        <f>ROUND(15.4841,4)</f>
        <v>15.4841</v>
      </c>
      <c r="G244" s="24"/>
      <c r="H244" s="36"/>
    </row>
    <row r="245" spans="1:8" ht="12.75" customHeight="1">
      <c r="A245" s="22">
        <v>42593</v>
      </c>
      <c r="B245" s="22"/>
      <c r="C245" s="26">
        <f>ROUND(15.3026666666667,4)</f>
        <v>15.3027</v>
      </c>
      <c r="D245" s="26">
        <f>F245</f>
        <v>15.5025</v>
      </c>
      <c r="E245" s="26">
        <f>F245</f>
        <v>15.5025</v>
      </c>
      <c r="F245" s="26">
        <f>ROUND(15.5025,4)</f>
        <v>15.5025</v>
      </c>
      <c r="G245" s="24"/>
      <c r="H245" s="36"/>
    </row>
    <row r="246" spans="1:8" ht="12.75" customHeight="1">
      <c r="A246" s="22">
        <v>42597</v>
      </c>
      <c r="B246" s="22"/>
      <c r="C246" s="26">
        <f>ROUND(15.3026666666667,4)</f>
        <v>15.3027</v>
      </c>
      <c r="D246" s="26">
        <f>F246</f>
        <v>15.5148</v>
      </c>
      <c r="E246" s="26">
        <f>F246</f>
        <v>15.5148</v>
      </c>
      <c r="F246" s="26">
        <f>ROUND(15.5148,4)</f>
        <v>15.5148</v>
      </c>
      <c r="G246" s="24"/>
      <c r="H246" s="36"/>
    </row>
    <row r="247" spans="1:8" ht="12.75" customHeight="1">
      <c r="A247" s="22">
        <v>42598</v>
      </c>
      <c r="B247" s="22"/>
      <c r="C247" s="26">
        <f>ROUND(15.3026666666667,4)</f>
        <v>15.3027</v>
      </c>
      <c r="D247" s="26">
        <f>F247</f>
        <v>15.5179</v>
      </c>
      <c r="E247" s="26">
        <f>F247</f>
        <v>15.5179</v>
      </c>
      <c r="F247" s="26">
        <f>ROUND(15.5179,4)</f>
        <v>15.5179</v>
      </c>
      <c r="G247" s="24"/>
      <c r="H247" s="36"/>
    </row>
    <row r="248" spans="1:8" ht="12.75" customHeight="1">
      <c r="A248" s="22">
        <v>42599</v>
      </c>
      <c r="B248" s="22"/>
      <c r="C248" s="26">
        <f>ROUND(15.3026666666667,4)</f>
        <v>15.3027</v>
      </c>
      <c r="D248" s="26">
        <f>F248</f>
        <v>15.5209</v>
      </c>
      <c r="E248" s="26">
        <f>F248</f>
        <v>15.5209</v>
      </c>
      <c r="F248" s="26">
        <f>ROUND(15.5209,4)</f>
        <v>15.5209</v>
      </c>
      <c r="G248" s="24"/>
      <c r="H248" s="36"/>
    </row>
    <row r="249" spans="1:8" ht="12.75" customHeight="1">
      <c r="A249" s="22">
        <v>42600</v>
      </c>
      <c r="B249" s="22"/>
      <c r="C249" s="26">
        <f>ROUND(15.3026666666667,4)</f>
        <v>15.3027</v>
      </c>
      <c r="D249" s="26">
        <f>F249</f>
        <v>15.524</v>
      </c>
      <c r="E249" s="26">
        <f>F249</f>
        <v>15.524</v>
      </c>
      <c r="F249" s="26">
        <f>ROUND(15.524,4)</f>
        <v>15.524</v>
      </c>
      <c r="G249" s="24"/>
      <c r="H249" s="36"/>
    </row>
    <row r="250" spans="1:8" ht="12.75" customHeight="1">
      <c r="A250" s="22">
        <v>42605</v>
      </c>
      <c r="B250" s="22"/>
      <c r="C250" s="26">
        <f>ROUND(15.3026666666667,4)</f>
        <v>15.3027</v>
      </c>
      <c r="D250" s="26">
        <f>F250</f>
        <v>15.5394</v>
      </c>
      <c r="E250" s="26">
        <f>F250</f>
        <v>15.5394</v>
      </c>
      <c r="F250" s="26">
        <f>ROUND(15.5394,4)</f>
        <v>15.5394</v>
      </c>
      <c r="G250" s="24"/>
      <c r="H250" s="36"/>
    </row>
    <row r="251" spans="1:8" ht="12.75" customHeight="1">
      <c r="A251" s="22">
        <v>42608</v>
      </c>
      <c r="B251" s="22"/>
      <c r="C251" s="26">
        <f>ROUND(15.3026666666667,4)</f>
        <v>15.3027</v>
      </c>
      <c r="D251" s="26">
        <f>F251</f>
        <v>15.5486</v>
      </c>
      <c r="E251" s="26">
        <f>F251</f>
        <v>15.5486</v>
      </c>
      <c r="F251" s="26">
        <f>ROUND(15.5486,4)</f>
        <v>15.5486</v>
      </c>
      <c r="G251" s="24"/>
      <c r="H251" s="36"/>
    </row>
    <row r="252" spans="1:8" ht="12.75" customHeight="1">
      <c r="A252" s="22">
        <v>42611</v>
      </c>
      <c r="B252" s="22"/>
      <c r="C252" s="26">
        <f>ROUND(15.3026666666667,4)</f>
        <v>15.3027</v>
      </c>
      <c r="D252" s="26">
        <f>F252</f>
        <v>15.5578</v>
      </c>
      <c r="E252" s="26">
        <f>F252</f>
        <v>15.5578</v>
      </c>
      <c r="F252" s="26">
        <f>ROUND(15.5578,4)</f>
        <v>15.5578</v>
      </c>
      <c r="G252" s="24"/>
      <c r="H252" s="36"/>
    </row>
    <row r="253" spans="1:8" ht="12.75" customHeight="1">
      <c r="A253" s="22">
        <v>42619</v>
      </c>
      <c r="B253" s="22"/>
      <c r="C253" s="26">
        <f>ROUND(15.3026666666667,4)</f>
        <v>15.3027</v>
      </c>
      <c r="D253" s="26">
        <f>F253</f>
        <v>15.5824</v>
      </c>
      <c r="E253" s="26">
        <f>F253</f>
        <v>15.5824</v>
      </c>
      <c r="F253" s="26">
        <f>ROUND(15.5824,4)</f>
        <v>15.5824</v>
      </c>
      <c r="G253" s="24"/>
      <c r="H253" s="36"/>
    </row>
    <row r="254" spans="1:8" ht="12.75" customHeight="1">
      <c r="A254" s="22">
        <v>42621</v>
      </c>
      <c r="B254" s="22"/>
      <c r="C254" s="26">
        <f>ROUND(15.3026666666667,4)</f>
        <v>15.3027</v>
      </c>
      <c r="D254" s="26">
        <f>F254</f>
        <v>15.5886</v>
      </c>
      <c r="E254" s="26">
        <f>F254</f>
        <v>15.5886</v>
      </c>
      <c r="F254" s="26">
        <f>ROUND(15.5886,4)</f>
        <v>15.5886</v>
      </c>
      <c r="G254" s="24"/>
      <c r="H254" s="36"/>
    </row>
    <row r="255" spans="1:8" ht="12.75" customHeight="1">
      <c r="A255" s="22">
        <v>42622</v>
      </c>
      <c r="B255" s="22"/>
      <c r="C255" s="26">
        <f>ROUND(15.3026666666667,4)</f>
        <v>15.3027</v>
      </c>
      <c r="D255" s="26">
        <f>F255</f>
        <v>15.5917</v>
      </c>
      <c r="E255" s="26">
        <f>F255</f>
        <v>15.5917</v>
      </c>
      <c r="F255" s="26">
        <f>ROUND(15.5917,4)</f>
        <v>15.5917</v>
      </c>
      <c r="G255" s="24"/>
      <c r="H255" s="36"/>
    </row>
    <row r="256" spans="1:8" ht="12.75" customHeight="1">
      <c r="A256" s="22">
        <v>42626</v>
      </c>
      <c r="B256" s="22"/>
      <c r="C256" s="26">
        <f>ROUND(15.3026666666667,4)</f>
        <v>15.3027</v>
      </c>
      <c r="D256" s="26">
        <f>F256</f>
        <v>15.6043</v>
      </c>
      <c r="E256" s="26">
        <f>F256</f>
        <v>15.6043</v>
      </c>
      <c r="F256" s="26">
        <f>ROUND(15.6043,4)</f>
        <v>15.6043</v>
      </c>
      <c r="G256" s="24"/>
      <c r="H256" s="36"/>
    </row>
    <row r="257" spans="1:8" ht="12.75" customHeight="1">
      <c r="A257" s="22">
        <v>42628</v>
      </c>
      <c r="B257" s="22"/>
      <c r="C257" s="26">
        <f>ROUND(15.3026666666667,4)</f>
        <v>15.3027</v>
      </c>
      <c r="D257" s="26">
        <f>F257</f>
        <v>15.6105</v>
      </c>
      <c r="E257" s="26">
        <f>F257</f>
        <v>15.6105</v>
      </c>
      <c r="F257" s="26">
        <f>ROUND(15.6105,4)</f>
        <v>15.6105</v>
      </c>
      <c r="G257" s="24"/>
      <c r="H257" s="36"/>
    </row>
    <row r="258" spans="1:8" ht="12.75" customHeight="1">
      <c r="A258" s="22">
        <v>42641</v>
      </c>
      <c r="B258" s="22"/>
      <c r="C258" s="26">
        <f>ROUND(15.3026666666667,4)</f>
        <v>15.3027</v>
      </c>
      <c r="D258" s="26">
        <f>F258</f>
        <v>15.6513</v>
      </c>
      <c r="E258" s="26">
        <f>F258</f>
        <v>15.6513</v>
      </c>
      <c r="F258" s="26">
        <f>ROUND(15.6513,4)</f>
        <v>15.6513</v>
      </c>
      <c r="G258" s="24"/>
      <c r="H258" s="36"/>
    </row>
    <row r="259" spans="1:8" ht="12.75" customHeight="1">
      <c r="A259" s="22">
        <v>42669</v>
      </c>
      <c r="B259" s="22"/>
      <c r="C259" s="26">
        <f>ROUND(15.3026666666667,4)</f>
        <v>15.3027</v>
      </c>
      <c r="D259" s="26">
        <f>F259</f>
        <v>15.7392</v>
      </c>
      <c r="E259" s="26">
        <f>F259</f>
        <v>15.7392</v>
      </c>
      <c r="F259" s="26">
        <f>ROUND(15.7392,4)</f>
        <v>15.7392</v>
      </c>
      <c r="G259" s="24"/>
      <c r="H259" s="36"/>
    </row>
    <row r="260" spans="1:8" ht="12.75" customHeight="1">
      <c r="A260" s="22">
        <v>42681</v>
      </c>
      <c r="B260" s="22"/>
      <c r="C260" s="26">
        <f>ROUND(15.3026666666667,4)</f>
        <v>15.3027</v>
      </c>
      <c r="D260" s="26">
        <f>F260</f>
        <v>15.7768</v>
      </c>
      <c r="E260" s="26">
        <f>F260</f>
        <v>15.7768</v>
      </c>
      <c r="F260" s="26">
        <f>ROUND(15.7768,4)</f>
        <v>15.7768</v>
      </c>
      <c r="G260" s="24"/>
      <c r="H260" s="36"/>
    </row>
    <row r="261" spans="1:8" ht="12.75" customHeight="1">
      <c r="A261" s="22">
        <v>42691</v>
      </c>
      <c r="B261" s="22"/>
      <c r="C261" s="26">
        <f>ROUND(15.3026666666667,4)</f>
        <v>15.3027</v>
      </c>
      <c r="D261" s="26">
        <f>F261</f>
        <v>15.8082</v>
      </c>
      <c r="E261" s="26">
        <f>F261</f>
        <v>15.8082</v>
      </c>
      <c r="F261" s="26">
        <f>ROUND(15.8082,4)</f>
        <v>15.8082</v>
      </c>
      <c r="G261" s="24"/>
      <c r="H261" s="36"/>
    </row>
    <row r="262" spans="1:8" ht="12.75" customHeight="1">
      <c r="A262" s="22">
        <v>42702</v>
      </c>
      <c r="B262" s="22"/>
      <c r="C262" s="26">
        <f>ROUND(15.3026666666667,4)</f>
        <v>15.3027</v>
      </c>
      <c r="D262" s="26">
        <f>F262</f>
        <v>15.8427</v>
      </c>
      <c r="E262" s="26">
        <f>F262</f>
        <v>15.8427</v>
      </c>
      <c r="F262" s="26">
        <f>ROUND(15.8427,4)</f>
        <v>15.8427</v>
      </c>
      <c r="G262" s="24"/>
      <c r="H262" s="36"/>
    </row>
    <row r="263" spans="1:8" ht="12.75" customHeight="1">
      <c r="A263" s="22">
        <v>42718</v>
      </c>
      <c r="B263" s="22"/>
      <c r="C263" s="26">
        <f>ROUND(15.3026666666667,4)</f>
        <v>15.3027</v>
      </c>
      <c r="D263" s="26">
        <f>F263</f>
        <v>15.8934</v>
      </c>
      <c r="E263" s="26">
        <f>F263</f>
        <v>15.8934</v>
      </c>
      <c r="F263" s="26">
        <f>ROUND(15.8934,4)</f>
        <v>15.8934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42534</v>
      </c>
      <c r="B265" s="22"/>
      <c r="C265" s="26">
        <f>ROUND(1.1329875,4)</f>
        <v>1.133</v>
      </c>
      <c r="D265" s="26">
        <f>F265</f>
        <v>1.1332</v>
      </c>
      <c r="E265" s="26">
        <f>F265</f>
        <v>1.1332</v>
      </c>
      <c r="F265" s="26">
        <f>ROUND(1.1332,4)</f>
        <v>1.1332</v>
      </c>
      <c r="G265" s="24"/>
      <c r="H265" s="36"/>
    </row>
    <row r="266" spans="1:8" ht="12.75" customHeight="1">
      <c r="A266" s="22">
        <v>42632</v>
      </c>
      <c r="B266" s="22"/>
      <c r="C266" s="26">
        <f>ROUND(1.1329875,4)</f>
        <v>1.133</v>
      </c>
      <c r="D266" s="26">
        <f>F266</f>
        <v>1.1371</v>
      </c>
      <c r="E266" s="26">
        <f>F266</f>
        <v>1.1371</v>
      </c>
      <c r="F266" s="26">
        <f>ROUND(1.1371,4)</f>
        <v>1.1371</v>
      </c>
      <c r="G266" s="24"/>
      <c r="H266" s="36"/>
    </row>
    <row r="267" spans="1:8" ht="12.75" customHeight="1">
      <c r="A267" s="22">
        <v>42723</v>
      </c>
      <c r="B267" s="22"/>
      <c r="C267" s="26">
        <f>ROUND(1.1329875,4)</f>
        <v>1.133</v>
      </c>
      <c r="D267" s="26">
        <f>F267</f>
        <v>1.1409</v>
      </c>
      <c r="E267" s="26">
        <f>F267</f>
        <v>1.1409</v>
      </c>
      <c r="F267" s="26">
        <f>ROUND(1.1409,4)</f>
        <v>1.1409</v>
      </c>
      <c r="G267" s="24"/>
      <c r="H267" s="36"/>
    </row>
    <row r="268" spans="1:8" ht="12.75" customHeight="1">
      <c r="A268" s="22">
        <v>42807</v>
      </c>
      <c r="B268" s="22"/>
      <c r="C268" s="26">
        <f>ROUND(1.1329875,4)</f>
        <v>1.133</v>
      </c>
      <c r="D268" s="26">
        <f>F268</f>
        <v>1.1449</v>
      </c>
      <c r="E268" s="26">
        <f>F268</f>
        <v>1.1449</v>
      </c>
      <c r="F268" s="26">
        <f>ROUND(1.1449,4)</f>
        <v>1.1449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42534</v>
      </c>
      <c r="B270" s="22"/>
      <c r="C270" s="26">
        <f>ROUND(11.2092033333333,4)</f>
        <v>11.2092</v>
      </c>
      <c r="D270" s="26">
        <f>F270</f>
        <v>11.2202</v>
      </c>
      <c r="E270" s="26">
        <f>F270</f>
        <v>11.2202</v>
      </c>
      <c r="F270" s="26">
        <f>ROUND(11.2202,4)</f>
        <v>11.2202</v>
      </c>
      <c r="G270" s="24"/>
      <c r="H270" s="36"/>
    </row>
    <row r="271" spans="1:8" ht="12.75" customHeight="1">
      <c r="A271" s="22">
        <v>42632</v>
      </c>
      <c r="B271" s="22"/>
      <c r="C271" s="26">
        <f>ROUND(11.2092033333333,4)</f>
        <v>11.2092</v>
      </c>
      <c r="D271" s="26">
        <f>F271</f>
        <v>11.4018</v>
      </c>
      <c r="E271" s="26">
        <f>F271</f>
        <v>11.4018</v>
      </c>
      <c r="F271" s="26">
        <f>ROUND(11.4018,4)</f>
        <v>11.4018</v>
      </c>
      <c r="G271" s="24"/>
      <c r="H271" s="36"/>
    </row>
    <row r="272" spans="1:8" ht="12.75" customHeight="1">
      <c r="A272" s="22">
        <v>42723</v>
      </c>
      <c r="B272" s="22"/>
      <c r="C272" s="26">
        <f>ROUND(11.2092033333333,4)</f>
        <v>11.2092</v>
      </c>
      <c r="D272" s="26">
        <f>F272</f>
        <v>11.5772</v>
      </c>
      <c r="E272" s="26">
        <f>F272</f>
        <v>11.5772</v>
      </c>
      <c r="F272" s="26">
        <f>ROUND(11.5772,4)</f>
        <v>11.5772</v>
      </c>
      <c r="G272" s="24"/>
      <c r="H272" s="36"/>
    </row>
    <row r="273" spans="1:8" ht="12.75" customHeight="1">
      <c r="A273" s="22">
        <v>42807</v>
      </c>
      <c r="B273" s="22"/>
      <c r="C273" s="26">
        <f>ROUND(11.2092033333333,4)</f>
        <v>11.2092</v>
      </c>
      <c r="D273" s="26">
        <f>F273</f>
        <v>11.7465</v>
      </c>
      <c r="E273" s="26">
        <f>F273</f>
        <v>11.7465</v>
      </c>
      <c r="F273" s="26">
        <f>ROUND(11.7465,4)</f>
        <v>11.7465</v>
      </c>
      <c r="G273" s="24"/>
      <c r="H273" s="36"/>
    </row>
    <row r="274" spans="1:8" ht="12.75" customHeight="1">
      <c r="A274" s="22">
        <v>42905</v>
      </c>
      <c r="B274" s="22"/>
      <c r="C274" s="26">
        <f>ROUND(11.2092033333333,4)</f>
        <v>11.2092</v>
      </c>
      <c r="D274" s="26">
        <f>F274</f>
        <v>11.9263</v>
      </c>
      <c r="E274" s="26">
        <f>F274</f>
        <v>11.9263</v>
      </c>
      <c r="F274" s="26">
        <f>ROUND(11.9263,4)</f>
        <v>11.9263</v>
      </c>
      <c r="G274" s="24"/>
      <c r="H274" s="36"/>
    </row>
    <row r="275" spans="1:8" ht="12.75" customHeight="1">
      <c r="A275" s="22">
        <v>42996</v>
      </c>
      <c r="B275" s="22"/>
      <c r="C275" s="26">
        <f>ROUND(11.2092033333333,4)</f>
        <v>11.2092</v>
      </c>
      <c r="D275" s="26">
        <f>F275</f>
        <v>11.9342</v>
      </c>
      <c r="E275" s="26">
        <f>F275</f>
        <v>11.9342</v>
      </c>
      <c r="F275" s="26">
        <f>ROUND(11.9342,4)</f>
        <v>11.9342</v>
      </c>
      <c r="G275" s="24"/>
      <c r="H275" s="36"/>
    </row>
    <row r="276" spans="1:8" ht="12.75" customHeight="1">
      <c r="A276" s="22">
        <v>43087</v>
      </c>
      <c r="B276" s="22"/>
      <c r="C276" s="26">
        <f>ROUND(11.2092033333333,4)</f>
        <v>11.2092</v>
      </c>
      <c r="D276" s="26">
        <f>F276</f>
        <v>11.9421</v>
      </c>
      <c r="E276" s="26">
        <f>F276</f>
        <v>11.9421</v>
      </c>
      <c r="F276" s="26">
        <f>ROUND(11.9421,4)</f>
        <v>11.9421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42534</v>
      </c>
      <c r="B278" s="22"/>
      <c r="C278" s="26">
        <f>ROUND(4.16614485493634,4)</f>
        <v>4.1661</v>
      </c>
      <c r="D278" s="26">
        <f>F278</f>
        <v>4.5089</v>
      </c>
      <c r="E278" s="26">
        <f>F278</f>
        <v>4.5089</v>
      </c>
      <c r="F278" s="26">
        <f>ROUND(4.5089,4)</f>
        <v>4.5089</v>
      </c>
      <c r="G278" s="24"/>
      <c r="H278" s="36"/>
    </row>
    <row r="279" spans="1:8" ht="12.75" customHeight="1">
      <c r="A279" s="22">
        <v>42632</v>
      </c>
      <c r="B279" s="22"/>
      <c r="C279" s="26">
        <f>ROUND(4.16614485493634,4)</f>
        <v>4.1661</v>
      </c>
      <c r="D279" s="26">
        <f>F279</f>
        <v>4.5216</v>
      </c>
      <c r="E279" s="26">
        <f>F279</f>
        <v>4.5216</v>
      </c>
      <c r="F279" s="26">
        <f>ROUND(4.5216,4)</f>
        <v>4.5216</v>
      </c>
      <c r="G279" s="24"/>
      <c r="H279" s="36"/>
    </row>
    <row r="280" spans="1:8" ht="12.75" customHeight="1">
      <c r="A280" s="22">
        <v>42723</v>
      </c>
      <c r="B280" s="22"/>
      <c r="C280" s="26">
        <f>ROUND(4.16614485493634,4)</f>
        <v>4.1661</v>
      </c>
      <c r="D280" s="26">
        <f>F280</f>
        <v>4.5535</v>
      </c>
      <c r="E280" s="26">
        <f>F280</f>
        <v>4.5535</v>
      </c>
      <c r="F280" s="26">
        <f>ROUND(4.5535,4)</f>
        <v>4.5535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42534</v>
      </c>
      <c r="B282" s="22"/>
      <c r="C282" s="26">
        <f>ROUND(1.3841262,4)</f>
        <v>1.3841</v>
      </c>
      <c r="D282" s="26">
        <f>F282</f>
        <v>1.3855</v>
      </c>
      <c r="E282" s="26">
        <f>F282</f>
        <v>1.3855</v>
      </c>
      <c r="F282" s="26">
        <f>ROUND(1.3855,4)</f>
        <v>1.3855</v>
      </c>
      <c r="G282" s="24"/>
      <c r="H282" s="36"/>
    </row>
    <row r="283" spans="1:8" ht="12.75" customHeight="1">
      <c r="A283" s="22">
        <v>42632</v>
      </c>
      <c r="B283" s="22"/>
      <c r="C283" s="26">
        <f>ROUND(1.3841262,4)</f>
        <v>1.3841</v>
      </c>
      <c r="D283" s="26">
        <f>F283</f>
        <v>1.4026</v>
      </c>
      <c r="E283" s="26">
        <f>F283</f>
        <v>1.4026</v>
      </c>
      <c r="F283" s="26">
        <f>ROUND(1.4026,4)</f>
        <v>1.4026</v>
      </c>
      <c r="G283" s="24"/>
      <c r="H283" s="36"/>
    </row>
    <row r="284" spans="1:8" ht="12.75" customHeight="1">
      <c r="A284" s="22">
        <v>42723</v>
      </c>
      <c r="B284" s="22"/>
      <c r="C284" s="26">
        <f>ROUND(1.3841262,4)</f>
        <v>1.3841</v>
      </c>
      <c r="D284" s="26">
        <f>F284</f>
        <v>1.4179</v>
      </c>
      <c r="E284" s="26">
        <f>F284</f>
        <v>1.4179</v>
      </c>
      <c r="F284" s="26">
        <f>ROUND(1.4179,4)</f>
        <v>1.4179</v>
      </c>
      <c r="G284" s="24"/>
      <c r="H284" s="36"/>
    </row>
    <row r="285" spans="1:8" ht="12.75" customHeight="1">
      <c r="A285" s="22">
        <v>42807</v>
      </c>
      <c r="B285" s="22"/>
      <c r="C285" s="26">
        <f>ROUND(1.3841262,4)</f>
        <v>1.3841</v>
      </c>
      <c r="D285" s="26">
        <f>F285</f>
        <v>1.4298</v>
      </c>
      <c r="E285" s="26">
        <f>F285</f>
        <v>1.4298</v>
      </c>
      <c r="F285" s="26">
        <f>ROUND(1.4298,4)</f>
        <v>1.4298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42534</v>
      </c>
      <c r="B287" s="22"/>
      <c r="C287" s="26">
        <f>ROUND(11.8117144584668,4)</f>
        <v>11.8117</v>
      </c>
      <c r="D287" s="26">
        <f>F287</f>
        <v>11.8258</v>
      </c>
      <c r="E287" s="26">
        <f>F287</f>
        <v>11.8258</v>
      </c>
      <c r="F287" s="26">
        <f>ROUND(11.8258,4)</f>
        <v>11.8258</v>
      </c>
      <c r="G287" s="24"/>
      <c r="H287" s="36"/>
    </row>
    <row r="288" spans="1:8" ht="12.75" customHeight="1">
      <c r="A288" s="22">
        <v>42632</v>
      </c>
      <c r="B288" s="22"/>
      <c r="C288" s="26">
        <f>ROUND(11.8117144584668,4)</f>
        <v>11.8117</v>
      </c>
      <c r="D288" s="26">
        <f>F288</f>
        <v>12.06</v>
      </c>
      <c r="E288" s="26">
        <f>F288</f>
        <v>12.06</v>
      </c>
      <c r="F288" s="26">
        <f>ROUND(12.06,4)</f>
        <v>12.06</v>
      </c>
      <c r="G288" s="24"/>
      <c r="H288" s="36"/>
    </row>
    <row r="289" spans="1:8" ht="12.75" customHeight="1">
      <c r="A289" s="22">
        <v>42723</v>
      </c>
      <c r="B289" s="22"/>
      <c r="C289" s="26">
        <f>ROUND(11.8117144584668,4)</f>
        <v>11.8117</v>
      </c>
      <c r="D289" s="26">
        <f>F289</f>
        <v>12.2841</v>
      </c>
      <c r="E289" s="26">
        <f>F289</f>
        <v>12.2841</v>
      </c>
      <c r="F289" s="26">
        <f>ROUND(12.2841,4)</f>
        <v>12.2841</v>
      </c>
      <c r="G289" s="24"/>
      <c r="H289" s="36"/>
    </row>
    <row r="290" spans="1:8" ht="12.75" customHeight="1">
      <c r="A290" s="22">
        <v>42807</v>
      </c>
      <c r="B290" s="22"/>
      <c r="C290" s="26">
        <f>ROUND(11.8117144584668,4)</f>
        <v>11.8117</v>
      </c>
      <c r="D290" s="26">
        <f>F290</f>
        <v>12.4982</v>
      </c>
      <c r="E290" s="26">
        <f>F290</f>
        <v>12.4982</v>
      </c>
      <c r="F290" s="26">
        <f>ROUND(12.4982,4)</f>
        <v>12.4982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42534</v>
      </c>
      <c r="B292" s="22"/>
      <c r="C292" s="26">
        <f>ROUND(2.33902781594455,4)</f>
        <v>2.339</v>
      </c>
      <c r="D292" s="26">
        <f>F292</f>
        <v>2.3386</v>
      </c>
      <c r="E292" s="26">
        <f>F292</f>
        <v>2.3386</v>
      </c>
      <c r="F292" s="26">
        <f>ROUND(2.3386,4)</f>
        <v>2.3386</v>
      </c>
      <c r="G292" s="24"/>
      <c r="H292" s="36"/>
    </row>
    <row r="293" spans="1:8" ht="12.75" customHeight="1">
      <c r="A293" s="22">
        <v>42632</v>
      </c>
      <c r="B293" s="22"/>
      <c r="C293" s="26">
        <f>ROUND(2.33902781594455,4)</f>
        <v>2.339</v>
      </c>
      <c r="D293" s="26">
        <f>F293</f>
        <v>2.375</v>
      </c>
      <c r="E293" s="26">
        <f>F293</f>
        <v>2.375</v>
      </c>
      <c r="F293" s="26">
        <f>ROUND(2.375,4)</f>
        <v>2.375</v>
      </c>
      <c r="G293" s="24"/>
      <c r="H293" s="36"/>
    </row>
    <row r="294" spans="1:8" ht="12.75" customHeight="1">
      <c r="A294" s="22">
        <v>42723</v>
      </c>
      <c r="B294" s="22"/>
      <c r="C294" s="26">
        <f>ROUND(2.33902781594455,4)</f>
        <v>2.339</v>
      </c>
      <c r="D294" s="26">
        <f>F294</f>
        <v>2.4059</v>
      </c>
      <c r="E294" s="26">
        <f>F294</f>
        <v>2.4059</v>
      </c>
      <c r="F294" s="26">
        <f>ROUND(2.4059,4)</f>
        <v>2.4059</v>
      </c>
      <c r="G294" s="24"/>
      <c r="H294" s="36"/>
    </row>
    <row r="295" spans="1:8" ht="12.75" customHeight="1">
      <c r="A295" s="22">
        <v>42807</v>
      </c>
      <c r="B295" s="22"/>
      <c r="C295" s="26">
        <f>ROUND(2.33902781594455,4)</f>
        <v>2.339</v>
      </c>
      <c r="D295" s="26">
        <f>F295</f>
        <v>2.434</v>
      </c>
      <c r="E295" s="26">
        <f>F295</f>
        <v>2.434</v>
      </c>
      <c r="F295" s="26">
        <f>ROUND(2.434,4)</f>
        <v>2.434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42534</v>
      </c>
      <c r="B297" s="22"/>
      <c r="C297" s="26">
        <f>ROUND(2.33142636591937,4)</f>
        <v>2.3314</v>
      </c>
      <c r="D297" s="26">
        <f>F297</f>
        <v>2.3384</v>
      </c>
      <c r="E297" s="26">
        <f>F297</f>
        <v>2.3384</v>
      </c>
      <c r="F297" s="26">
        <f>ROUND(2.3384,4)</f>
        <v>2.3384</v>
      </c>
      <c r="G297" s="24"/>
      <c r="H297" s="36"/>
    </row>
    <row r="298" spans="1:8" ht="12.75" customHeight="1">
      <c r="A298" s="22">
        <v>42632</v>
      </c>
      <c r="B298" s="22"/>
      <c r="C298" s="26">
        <f>ROUND(2.33142636591937,4)</f>
        <v>2.3314</v>
      </c>
      <c r="D298" s="26">
        <f>F298</f>
        <v>2.394</v>
      </c>
      <c r="E298" s="26">
        <f>F298</f>
        <v>2.394</v>
      </c>
      <c r="F298" s="26">
        <f>ROUND(2.394,4)</f>
        <v>2.394</v>
      </c>
      <c r="G298" s="24"/>
      <c r="H298" s="36"/>
    </row>
    <row r="299" spans="1:8" ht="12.75" customHeight="1">
      <c r="A299" s="22">
        <v>42723</v>
      </c>
      <c r="B299" s="22"/>
      <c r="C299" s="26">
        <f>ROUND(2.33142636591937,4)</f>
        <v>2.3314</v>
      </c>
      <c r="D299" s="26">
        <f>F299</f>
        <v>2.4484</v>
      </c>
      <c r="E299" s="26">
        <f>F299</f>
        <v>2.4484</v>
      </c>
      <c r="F299" s="26">
        <f>ROUND(2.4484,4)</f>
        <v>2.4484</v>
      </c>
      <c r="G299" s="24"/>
      <c r="H299" s="36"/>
    </row>
    <row r="300" spans="1:8" ht="12.75" customHeight="1">
      <c r="A300" s="22">
        <v>42807</v>
      </c>
      <c r="B300" s="22"/>
      <c r="C300" s="26">
        <f>ROUND(2.33142636591937,4)</f>
        <v>2.3314</v>
      </c>
      <c r="D300" s="26">
        <f>F300</f>
        <v>2.4484</v>
      </c>
      <c r="E300" s="26">
        <f>F300</f>
        <v>2.4484</v>
      </c>
      <c r="F300" s="26">
        <f>ROUND(2.4484,4)</f>
        <v>2.4484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42534</v>
      </c>
      <c r="B302" s="22"/>
      <c r="C302" s="26">
        <f>ROUND(17.33773005,4)</f>
        <v>17.3377</v>
      </c>
      <c r="D302" s="26">
        <f>F302</f>
        <v>17.3616</v>
      </c>
      <c r="E302" s="26">
        <f>F302</f>
        <v>17.3616</v>
      </c>
      <c r="F302" s="26">
        <f>ROUND(17.3616,4)</f>
        <v>17.3616</v>
      </c>
      <c r="G302" s="24"/>
      <c r="H302" s="36"/>
    </row>
    <row r="303" spans="1:8" ht="12.75" customHeight="1">
      <c r="A303" s="22">
        <v>42632</v>
      </c>
      <c r="B303" s="22"/>
      <c r="C303" s="26">
        <f>ROUND(17.33773005,4)</f>
        <v>17.3377</v>
      </c>
      <c r="D303" s="26">
        <f>F303</f>
        <v>17.7646</v>
      </c>
      <c r="E303" s="26">
        <f>F303</f>
        <v>17.7646</v>
      </c>
      <c r="F303" s="26">
        <f>ROUND(17.7646,4)</f>
        <v>17.7646</v>
      </c>
      <c r="G303" s="24"/>
      <c r="H303" s="36"/>
    </row>
    <row r="304" spans="1:8" ht="12.75" customHeight="1">
      <c r="A304" s="22">
        <v>42723</v>
      </c>
      <c r="B304" s="22"/>
      <c r="C304" s="26">
        <f>ROUND(17.33773005,4)</f>
        <v>17.3377</v>
      </c>
      <c r="D304" s="26">
        <f>F304</f>
        <v>18.1516</v>
      </c>
      <c r="E304" s="26">
        <f>F304</f>
        <v>18.1516</v>
      </c>
      <c r="F304" s="26">
        <f>ROUND(18.1516,4)</f>
        <v>18.1516</v>
      </c>
      <c r="G304" s="24"/>
      <c r="H304" s="36"/>
    </row>
    <row r="305" spans="1:8" ht="12.75" customHeight="1">
      <c r="A305" s="22">
        <v>42807</v>
      </c>
      <c r="B305" s="22"/>
      <c r="C305" s="26">
        <f>ROUND(17.33773005,4)</f>
        <v>17.3377</v>
      </c>
      <c r="D305" s="26">
        <f>F305</f>
        <v>18.5255</v>
      </c>
      <c r="E305" s="26">
        <f>F305</f>
        <v>18.5255</v>
      </c>
      <c r="F305" s="26">
        <f>ROUND(18.5255,4)</f>
        <v>18.5255</v>
      </c>
      <c r="G305" s="24"/>
      <c r="H305" s="36"/>
    </row>
    <row r="306" spans="1:8" ht="12.75" customHeight="1">
      <c r="A306" s="22">
        <v>42905</v>
      </c>
      <c r="B306" s="22"/>
      <c r="C306" s="26">
        <f>ROUND(17.33773005,4)</f>
        <v>17.3377</v>
      </c>
      <c r="D306" s="26">
        <f>F306</f>
        <v>18.9308</v>
      </c>
      <c r="E306" s="26">
        <f>F306</f>
        <v>18.9308</v>
      </c>
      <c r="F306" s="26">
        <f>ROUND(18.9308,4)</f>
        <v>18.9308</v>
      </c>
      <c r="G306" s="24"/>
      <c r="H306" s="36"/>
    </row>
    <row r="307" spans="1:8" ht="12.75" customHeight="1">
      <c r="A307" s="22">
        <v>42996</v>
      </c>
      <c r="B307" s="22"/>
      <c r="C307" s="26">
        <f>ROUND(17.33773005,4)</f>
        <v>17.3377</v>
      </c>
      <c r="D307" s="26">
        <f>F307</f>
        <v>19.034</v>
      </c>
      <c r="E307" s="26">
        <f>F307</f>
        <v>19.034</v>
      </c>
      <c r="F307" s="26">
        <f>ROUND(19.034,4)</f>
        <v>19.034</v>
      </c>
      <c r="G307" s="24"/>
      <c r="H307" s="36"/>
    </row>
    <row r="308" spans="1:8" ht="12.75" customHeight="1">
      <c r="A308" s="22">
        <v>43087</v>
      </c>
      <c r="B308" s="22"/>
      <c r="C308" s="26">
        <f>ROUND(17.33773005,4)</f>
        <v>17.3377</v>
      </c>
      <c r="D308" s="26">
        <f>F308</f>
        <v>19.2068</v>
      </c>
      <c r="E308" s="26">
        <f>F308</f>
        <v>19.2068</v>
      </c>
      <c r="F308" s="26">
        <f>ROUND(19.2068,4)</f>
        <v>19.2068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42534</v>
      </c>
      <c r="B310" s="22"/>
      <c r="C310" s="26">
        <f>ROUND(15.6452987083802,4)</f>
        <v>15.6453</v>
      </c>
      <c r="D310" s="26">
        <f>F310</f>
        <v>15.668</v>
      </c>
      <c r="E310" s="26">
        <f>F310</f>
        <v>15.668</v>
      </c>
      <c r="F310" s="26">
        <f>ROUND(15.668,4)</f>
        <v>15.668</v>
      </c>
      <c r="G310" s="24"/>
      <c r="H310" s="36"/>
    </row>
    <row r="311" spans="1:8" ht="12.75" customHeight="1">
      <c r="A311" s="22">
        <v>42632</v>
      </c>
      <c r="B311" s="22"/>
      <c r="C311" s="26">
        <f>ROUND(15.6452987083802,4)</f>
        <v>15.6453</v>
      </c>
      <c r="D311" s="26">
        <f>F311</f>
        <v>16.0537</v>
      </c>
      <c r="E311" s="26">
        <f>F311</f>
        <v>16.0537</v>
      </c>
      <c r="F311" s="26">
        <f>ROUND(16.0537,4)</f>
        <v>16.0537</v>
      </c>
      <c r="G311" s="24"/>
      <c r="H311" s="36"/>
    </row>
    <row r="312" spans="1:8" ht="12.75" customHeight="1">
      <c r="A312" s="22">
        <v>42723</v>
      </c>
      <c r="B312" s="22"/>
      <c r="C312" s="26">
        <f>ROUND(15.6452987083802,4)</f>
        <v>15.6453</v>
      </c>
      <c r="D312" s="26">
        <f>F312</f>
        <v>16.4282</v>
      </c>
      <c r="E312" s="26">
        <f>F312</f>
        <v>16.4282</v>
      </c>
      <c r="F312" s="26">
        <f>ROUND(16.4282,4)</f>
        <v>16.4282</v>
      </c>
      <c r="G312" s="24"/>
      <c r="H312" s="36"/>
    </row>
    <row r="313" spans="1:8" ht="12.75" customHeight="1">
      <c r="A313" s="22">
        <v>42807</v>
      </c>
      <c r="B313" s="22"/>
      <c r="C313" s="26">
        <f>ROUND(15.6452987083802,4)</f>
        <v>15.6453</v>
      </c>
      <c r="D313" s="26">
        <f>F313</f>
        <v>16.7849</v>
      </c>
      <c r="E313" s="26">
        <f>F313</f>
        <v>16.7849</v>
      </c>
      <c r="F313" s="26">
        <f>ROUND(16.7849,4)</f>
        <v>16.7849</v>
      </c>
      <c r="G313" s="24"/>
      <c r="H313" s="36"/>
    </row>
    <row r="314" spans="1:8" ht="12.75" customHeight="1">
      <c r="A314" s="22">
        <v>42905</v>
      </c>
      <c r="B314" s="22"/>
      <c r="C314" s="26">
        <f>ROUND(15.6452987083802,4)</f>
        <v>15.6453</v>
      </c>
      <c r="D314" s="26">
        <f>F314</f>
        <v>17.1807</v>
      </c>
      <c r="E314" s="26">
        <f>F314</f>
        <v>17.1807</v>
      </c>
      <c r="F314" s="26">
        <f>ROUND(17.1807,4)</f>
        <v>17.1807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42534</v>
      </c>
      <c r="B316" s="22"/>
      <c r="C316" s="26">
        <f>ROUND(22.2104816833333,4)</f>
        <v>22.2105</v>
      </c>
      <c r="D316" s="26">
        <f>F316</f>
        <v>22.2377</v>
      </c>
      <c r="E316" s="26">
        <f>F316</f>
        <v>22.2377</v>
      </c>
      <c r="F316" s="26">
        <f>ROUND(22.2377,4)</f>
        <v>22.2377</v>
      </c>
      <c r="G316" s="24"/>
      <c r="H316" s="36"/>
    </row>
    <row r="317" spans="1:8" ht="12.75" customHeight="1">
      <c r="A317" s="22">
        <v>42632</v>
      </c>
      <c r="B317" s="22"/>
      <c r="C317" s="26">
        <f>ROUND(22.2104816833333,4)</f>
        <v>22.2105</v>
      </c>
      <c r="D317" s="26">
        <f>F317</f>
        <v>22.6931</v>
      </c>
      <c r="E317" s="26">
        <f>F317</f>
        <v>22.6931</v>
      </c>
      <c r="F317" s="26">
        <f>ROUND(22.6931,4)</f>
        <v>22.6931</v>
      </c>
      <c r="G317" s="24"/>
      <c r="H317" s="36"/>
    </row>
    <row r="318" spans="1:8" ht="12.75" customHeight="1">
      <c r="A318" s="22">
        <v>42723</v>
      </c>
      <c r="B318" s="22"/>
      <c r="C318" s="26">
        <f>ROUND(22.2104816833333,4)</f>
        <v>22.2105</v>
      </c>
      <c r="D318" s="26">
        <f>F318</f>
        <v>23.1313</v>
      </c>
      <c r="E318" s="26">
        <f>F318</f>
        <v>23.1313</v>
      </c>
      <c r="F318" s="26">
        <f>ROUND(23.1313,4)</f>
        <v>23.1313</v>
      </c>
      <c r="G318" s="24"/>
      <c r="H318" s="36"/>
    </row>
    <row r="319" spans="1:8" ht="12.75" customHeight="1">
      <c r="A319" s="22">
        <v>42807</v>
      </c>
      <c r="B319" s="22"/>
      <c r="C319" s="26">
        <f>ROUND(22.2104816833333,4)</f>
        <v>22.2105</v>
      </c>
      <c r="D319" s="26">
        <f>F319</f>
        <v>23.5473</v>
      </c>
      <c r="E319" s="26">
        <f>F319</f>
        <v>23.5473</v>
      </c>
      <c r="F319" s="26">
        <f>ROUND(23.5473,4)</f>
        <v>23.5473</v>
      </c>
      <c r="G319" s="24"/>
      <c r="H319" s="36"/>
    </row>
    <row r="320" spans="1:8" ht="12.75" customHeight="1">
      <c r="A320" s="22">
        <v>42905</v>
      </c>
      <c r="B320" s="22"/>
      <c r="C320" s="26">
        <f>ROUND(22.2104816833333,4)</f>
        <v>22.2105</v>
      </c>
      <c r="D320" s="26">
        <f>F320</f>
        <v>23.9979</v>
      </c>
      <c r="E320" s="26">
        <f>F320</f>
        <v>23.9979</v>
      </c>
      <c r="F320" s="26">
        <f>ROUND(23.9979,4)</f>
        <v>23.9979</v>
      </c>
      <c r="G320" s="24"/>
      <c r="H320" s="36"/>
    </row>
    <row r="321" spans="1:8" ht="12.75" customHeight="1">
      <c r="A321" s="22">
        <v>42996</v>
      </c>
      <c r="B321" s="22"/>
      <c r="C321" s="26">
        <f>ROUND(22.2104816833333,4)</f>
        <v>22.2105</v>
      </c>
      <c r="D321" s="26">
        <f>F321</f>
        <v>24.0957</v>
      </c>
      <c r="E321" s="26">
        <f>F321</f>
        <v>24.0957</v>
      </c>
      <c r="F321" s="26">
        <f>ROUND(24.0957,4)</f>
        <v>24.0957</v>
      </c>
      <c r="G321" s="24"/>
      <c r="H321" s="36"/>
    </row>
    <row r="322" spans="1:8" ht="12.75" customHeight="1">
      <c r="A322" s="22">
        <v>43087</v>
      </c>
      <c r="B322" s="22"/>
      <c r="C322" s="26">
        <f>ROUND(22.2104816833333,4)</f>
        <v>22.2105</v>
      </c>
      <c r="D322" s="26">
        <f>F322</f>
        <v>24.0957</v>
      </c>
      <c r="E322" s="26">
        <f>F322</f>
        <v>24.0957</v>
      </c>
      <c r="F322" s="26">
        <f>ROUND(24.0957,4)</f>
        <v>24.0957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42534</v>
      </c>
      <c r="B324" s="22"/>
      <c r="C324" s="26">
        <f>ROUND(1.96906237065536,4)</f>
        <v>1.9691</v>
      </c>
      <c r="D324" s="26">
        <f>F324</f>
        <v>1.9716</v>
      </c>
      <c r="E324" s="26">
        <f>F324</f>
        <v>1.9716</v>
      </c>
      <c r="F324" s="26">
        <f>ROUND(1.9716,4)</f>
        <v>1.9716</v>
      </c>
      <c r="G324" s="24"/>
      <c r="H324" s="36"/>
    </row>
    <row r="325" spans="1:8" ht="12.75" customHeight="1">
      <c r="A325" s="22">
        <v>42632</v>
      </c>
      <c r="B325" s="22"/>
      <c r="C325" s="26">
        <f>ROUND(1.96906237065536,4)</f>
        <v>1.9691</v>
      </c>
      <c r="D325" s="26">
        <f>F325</f>
        <v>2.0132</v>
      </c>
      <c r="E325" s="26">
        <f>F325</f>
        <v>2.0132</v>
      </c>
      <c r="F325" s="26">
        <f>ROUND(2.0132,4)</f>
        <v>2.0132</v>
      </c>
      <c r="G325" s="24"/>
      <c r="H325" s="36"/>
    </row>
    <row r="326" spans="1:8" ht="12.75" customHeight="1">
      <c r="A326" s="22">
        <v>42723</v>
      </c>
      <c r="B326" s="22"/>
      <c r="C326" s="26">
        <f>ROUND(1.96906237065536,4)</f>
        <v>1.9691</v>
      </c>
      <c r="D326" s="26">
        <f>F326</f>
        <v>2.0509</v>
      </c>
      <c r="E326" s="26">
        <f>F326</f>
        <v>2.0509</v>
      </c>
      <c r="F326" s="26">
        <f>ROUND(2.0509,4)</f>
        <v>2.0509</v>
      </c>
      <c r="G326" s="24"/>
      <c r="H326" s="36"/>
    </row>
    <row r="327" spans="1:8" ht="12.75" customHeight="1">
      <c r="A327" s="22">
        <v>42807</v>
      </c>
      <c r="B327" s="22"/>
      <c r="C327" s="26">
        <f>ROUND(1.96906237065536,4)</f>
        <v>1.9691</v>
      </c>
      <c r="D327" s="26">
        <f>F327</f>
        <v>2.0857</v>
      </c>
      <c r="E327" s="26">
        <f>F327</f>
        <v>2.0857</v>
      </c>
      <c r="F327" s="26">
        <f>ROUND(2.0857,4)</f>
        <v>2.0857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42534</v>
      </c>
      <c r="B329" s="22"/>
      <c r="C329" s="28">
        <f>ROUND(0.143197919469106,6)</f>
        <v>0.143198</v>
      </c>
      <c r="D329" s="28">
        <f>F329</f>
        <v>0.143389</v>
      </c>
      <c r="E329" s="28">
        <f>F329</f>
        <v>0.143389</v>
      </c>
      <c r="F329" s="28">
        <f>ROUND(0.143389,6)</f>
        <v>0.143389</v>
      </c>
      <c r="G329" s="24"/>
      <c r="H329" s="36"/>
    </row>
    <row r="330" spans="1:8" ht="12.75" customHeight="1">
      <c r="A330" s="22">
        <v>42632</v>
      </c>
      <c r="B330" s="22"/>
      <c r="C330" s="28">
        <f>ROUND(0.143197919469106,6)</f>
        <v>0.143198</v>
      </c>
      <c r="D330" s="28">
        <f>F330</f>
        <v>0.146721</v>
      </c>
      <c r="E330" s="28">
        <f>F330</f>
        <v>0.146721</v>
      </c>
      <c r="F330" s="28">
        <f>ROUND(0.146721,6)</f>
        <v>0.146721</v>
      </c>
      <c r="G330" s="24"/>
      <c r="H330" s="36"/>
    </row>
    <row r="331" spans="1:8" ht="12.75" customHeight="1">
      <c r="A331" s="22">
        <v>42723</v>
      </c>
      <c r="B331" s="22"/>
      <c r="C331" s="28">
        <f>ROUND(0.143197919469106,6)</f>
        <v>0.143198</v>
      </c>
      <c r="D331" s="28">
        <f>F331</f>
        <v>0.149977</v>
      </c>
      <c r="E331" s="28">
        <f>F331</f>
        <v>0.149977</v>
      </c>
      <c r="F331" s="28">
        <f>ROUND(0.149977,6)</f>
        <v>0.149977</v>
      </c>
      <c r="G331" s="24"/>
      <c r="H331" s="36"/>
    </row>
    <row r="332" spans="1:8" ht="12.75" customHeight="1">
      <c r="A332" s="22">
        <v>42807</v>
      </c>
      <c r="B332" s="22"/>
      <c r="C332" s="28">
        <f>ROUND(0.143197919469106,6)</f>
        <v>0.143198</v>
      </c>
      <c r="D332" s="28">
        <f>F332</f>
        <v>0.153127</v>
      </c>
      <c r="E332" s="28">
        <f>F332</f>
        <v>0.153127</v>
      </c>
      <c r="F332" s="28">
        <f>ROUND(0.153127,6)</f>
        <v>0.153127</v>
      </c>
      <c r="G332" s="24"/>
      <c r="H332" s="36"/>
    </row>
    <row r="333" spans="1:8" ht="12.75" customHeight="1">
      <c r="A333" s="22">
        <v>42905</v>
      </c>
      <c r="B333" s="22"/>
      <c r="C333" s="28">
        <f>ROUND(0.143197919469106,6)</f>
        <v>0.143198</v>
      </c>
      <c r="D333" s="28">
        <f>F333</f>
        <v>0.156604</v>
      </c>
      <c r="E333" s="28">
        <f>F333</f>
        <v>0.156604</v>
      </c>
      <c r="F333" s="28">
        <f>ROUND(0.156604,6)</f>
        <v>0.156604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42534</v>
      </c>
      <c r="B335" s="22"/>
      <c r="C335" s="26">
        <f>ROUND(0.151517551850238,4)</f>
        <v>0.1515</v>
      </c>
      <c r="D335" s="26">
        <f>F335</f>
        <v>0.1515</v>
      </c>
      <c r="E335" s="26">
        <f>F335</f>
        <v>0.1515</v>
      </c>
      <c r="F335" s="26">
        <f>ROUND(0.1515,4)</f>
        <v>0.1515</v>
      </c>
      <c r="G335" s="24"/>
      <c r="H335" s="36"/>
    </row>
    <row r="336" spans="1:8" ht="12.75" customHeight="1">
      <c r="A336" s="22">
        <v>42632</v>
      </c>
      <c r="B336" s="22"/>
      <c r="C336" s="26">
        <f>ROUND(0.151517551850238,4)</f>
        <v>0.1515</v>
      </c>
      <c r="D336" s="26">
        <f>F336</f>
        <v>0.1514</v>
      </c>
      <c r="E336" s="26">
        <f>F336</f>
        <v>0.1514</v>
      </c>
      <c r="F336" s="26">
        <f>ROUND(0.1514,4)</f>
        <v>0.1514</v>
      </c>
      <c r="G336" s="24"/>
      <c r="H336" s="36"/>
    </row>
    <row r="337" spans="1:8" ht="12.75" customHeight="1">
      <c r="A337" s="22">
        <v>42723</v>
      </c>
      <c r="B337" s="22"/>
      <c r="C337" s="26">
        <f>ROUND(0.151517551850238,4)</f>
        <v>0.1515</v>
      </c>
      <c r="D337" s="26">
        <f>F337</f>
        <v>0.1516</v>
      </c>
      <c r="E337" s="26">
        <f>F337</f>
        <v>0.1516</v>
      </c>
      <c r="F337" s="26">
        <f>ROUND(0.1516,4)</f>
        <v>0.1516</v>
      </c>
      <c r="G337" s="24"/>
      <c r="H337" s="36"/>
    </row>
    <row r="338" spans="1:8" ht="12.75" customHeight="1">
      <c r="A338" s="22">
        <v>42807</v>
      </c>
      <c r="B338" s="22"/>
      <c r="C338" s="26">
        <f>ROUND(0.151517551850238,4)</f>
        <v>0.1515</v>
      </c>
      <c r="D338" s="26">
        <f>F338</f>
        <v>0.1522</v>
      </c>
      <c r="E338" s="26">
        <f>F338</f>
        <v>0.1522</v>
      </c>
      <c r="F338" s="26">
        <f>ROUND(0.1522,4)</f>
        <v>0.1522</v>
      </c>
      <c r="G338" s="24"/>
      <c r="H338" s="36"/>
    </row>
    <row r="339" spans="1:8" ht="12.75" customHeight="1">
      <c r="A339" s="22" t="s">
        <v>76</v>
      </c>
      <c r="B339" s="22"/>
      <c r="C339" s="23"/>
      <c r="D339" s="23"/>
      <c r="E339" s="23"/>
      <c r="F339" s="23"/>
      <c r="G339" s="24"/>
      <c r="H339" s="36"/>
    </row>
    <row r="340" spans="1:8" ht="12.75" customHeight="1">
      <c r="A340" s="22">
        <v>42534</v>
      </c>
      <c r="B340" s="22"/>
      <c r="C340" s="26">
        <f>ROUND(0.0768785062379637,4)</f>
        <v>0.0769</v>
      </c>
      <c r="D340" s="26">
        <f>F340</f>
        <v>0.0769</v>
      </c>
      <c r="E340" s="26">
        <f>F340</f>
        <v>0.0769</v>
      </c>
      <c r="F340" s="26">
        <f>ROUND(0.0769,4)</f>
        <v>0.0769</v>
      </c>
      <c r="G340" s="24"/>
      <c r="H340" s="36"/>
    </row>
    <row r="341" spans="1:8" ht="12.75" customHeight="1">
      <c r="A341" s="22">
        <v>42632</v>
      </c>
      <c r="B341" s="22"/>
      <c r="C341" s="26">
        <f>ROUND(0.0768785062379637,4)</f>
        <v>0.0769</v>
      </c>
      <c r="D341" s="26">
        <f>F341</f>
        <v>0.0554</v>
      </c>
      <c r="E341" s="26">
        <f>F341</f>
        <v>0.0554</v>
      </c>
      <c r="F341" s="26">
        <f>ROUND(0.0554,4)</f>
        <v>0.0554</v>
      </c>
      <c r="G341" s="24"/>
      <c r="H341" s="36"/>
    </row>
    <row r="342" spans="1:8" ht="12.75" customHeight="1">
      <c r="A342" s="22">
        <v>42723</v>
      </c>
      <c r="B342" s="22"/>
      <c r="C342" s="26">
        <f>ROUND(0.0768785062379637,4)</f>
        <v>0.0769</v>
      </c>
      <c r="D342" s="26">
        <f>F342</f>
        <v>0.0523</v>
      </c>
      <c r="E342" s="26">
        <f>F342</f>
        <v>0.0523</v>
      </c>
      <c r="F342" s="26">
        <f>ROUND(0.0523,4)</f>
        <v>0.0523</v>
      </c>
      <c r="G342" s="24"/>
      <c r="H342" s="36"/>
    </row>
    <row r="343" spans="1:8" ht="12.75" customHeight="1">
      <c r="A343" s="22">
        <v>42807</v>
      </c>
      <c r="B343" s="22"/>
      <c r="C343" s="26">
        <f>ROUND(0.0768785062379637,4)</f>
        <v>0.0769</v>
      </c>
      <c r="D343" s="26">
        <f>F343</f>
        <v>0.0509</v>
      </c>
      <c r="E343" s="26">
        <f>F343</f>
        <v>0.0509</v>
      </c>
      <c r="F343" s="26">
        <f>ROUND(0.0509,4)</f>
        <v>0.0509</v>
      </c>
      <c r="G343" s="24"/>
      <c r="H343" s="36"/>
    </row>
    <row r="344" spans="1:8" ht="12.75" customHeight="1">
      <c r="A344" s="22">
        <v>42905</v>
      </c>
      <c r="B344" s="22"/>
      <c r="C344" s="26">
        <f>ROUND(0.0768785062379637,4)</f>
        <v>0.0769</v>
      </c>
      <c r="D344" s="26">
        <f>F344</f>
        <v>0.0502</v>
      </c>
      <c r="E344" s="26">
        <f>F344</f>
        <v>0.0502</v>
      </c>
      <c r="F344" s="26">
        <f>ROUND(0.0502,4)</f>
        <v>0.0502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42534</v>
      </c>
      <c r="B346" s="22"/>
      <c r="C346" s="26">
        <f>ROUND(10.6192855333333,4)</f>
        <v>10.6193</v>
      </c>
      <c r="D346" s="26">
        <f>F346</f>
        <v>10.6281</v>
      </c>
      <c r="E346" s="26">
        <f>F346</f>
        <v>10.6281</v>
      </c>
      <c r="F346" s="26">
        <f>ROUND(10.6281,4)</f>
        <v>10.6281</v>
      </c>
      <c r="G346" s="24"/>
      <c r="H346" s="36"/>
    </row>
    <row r="347" spans="1:8" ht="12.75" customHeight="1">
      <c r="A347" s="22">
        <v>42632</v>
      </c>
      <c r="B347" s="22"/>
      <c r="C347" s="26">
        <f>ROUND(10.6192855333333,4)</f>
        <v>10.6193</v>
      </c>
      <c r="D347" s="26">
        <f>F347</f>
        <v>10.7867</v>
      </c>
      <c r="E347" s="26">
        <f>F347</f>
        <v>10.7867</v>
      </c>
      <c r="F347" s="26">
        <f>ROUND(10.7867,4)</f>
        <v>10.7867</v>
      </c>
      <c r="G347" s="24"/>
      <c r="H347" s="36"/>
    </row>
    <row r="348" spans="1:8" ht="12.75" customHeight="1">
      <c r="A348" s="22">
        <v>42723</v>
      </c>
      <c r="B348" s="22"/>
      <c r="C348" s="26">
        <f>ROUND(10.6192855333333,4)</f>
        <v>10.6193</v>
      </c>
      <c r="D348" s="26">
        <f>F348</f>
        <v>10.9401</v>
      </c>
      <c r="E348" s="26">
        <f>F348</f>
        <v>10.9401</v>
      </c>
      <c r="F348" s="26">
        <f>ROUND(10.9401,4)</f>
        <v>10.9401</v>
      </c>
      <c r="G348" s="24"/>
      <c r="H348" s="36"/>
    </row>
    <row r="349" spans="1:8" ht="12.75" customHeight="1">
      <c r="A349" s="22">
        <v>42807</v>
      </c>
      <c r="B349" s="22"/>
      <c r="C349" s="26">
        <f>ROUND(10.6192855333333,4)</f>
        <v>10.6193</v>
      </c>
      <c r="D349" s="26">
        <f>F349</f>
        <v>11.0886</v>
      </c>
      <c r="E349" s="26">
        <f>F349</f>
        <v>11.0886</v>
      </c>
      <c r="F349" s="26">
        <f>ROUND(11.0886,4)</f>
        <v>11.0886</v>
      </c>
      <c r="G349" s="24"/>
      <c r="H349" s="36"/>
    </row>
    <row r="350" spans="1:8" ht="12.75" customHeight="1">
      <c r="A350" s="22" t="s">
        <v>78</v>
      </c>
      <c r="B350" s="22"/>
      <c r="C350" s="23"/>
      <c r="D350" s="23"/>
      <c r="E350" s="23"/>
      <c r="F350" s="23"/>
      <c r="G350" s="24"/>
      <c r="H350" s="36"/>
    </row>
    <row r="351" spans="1:8" ht="12.75" customHeight="1">
      <c r="A351" s="22">
        <v>42534</v>
      </c>
      <c r="B351" s="22"/>
      <c r="C351" s="26">
        <f>ROUND(11.2507198960899,4)</f>
        <v>11.2507</v>
      </c>
      <c r="D351" s="26">
        <f>F351</f>
        <v>11.264</v>
      </c>
      <c r="E351" s="26">
        <f>F351</f>
        <v>11.264</v>
      </c>
      <c r="F351" s="26">
        <f>ROUND(11.264,4)</f>
        <v>11.264</v>
      </c>
      <c r="G351" s="24"/>
      <c r="H351" s="36"/>
    </row>
    <row r="352" spans="1:8" ht="12.75" customHeight="1">
      <c r="A352" s="22">
        <v>42632</v>
      </c>
      <c r="B352" s="22"/>
      <c r="C352" s="26">
        <f>ROUND(11.2507198960899,4)</f>
        <v>11.2507</v>
      </c>
      <c r="D352" s="26">
        <f>F352</f>
        <v>11.468</v>
      </c>
      <c r="E352" s="26">
        <f>F352</f>
        <v>11.468</v>
      </c>
      <c r="F352" s="26">
        <f>ROUND(11.468,4)</f>
        <v>11.468</v>
      </c>
      <c r="G352" s="24"/>
      <c r="H352" s="36"/>
    </row>
    <row r="353" spans="1:8" ht="12.75" customHeight="1">
      <c r="A353" s="22">
        <v>42723</v>
      </c>
      <c r="B353" s="22"/>
      <c r="C353" s="26">
        <f>ROUND(11.2507198960899,4)</f>
        <v>11.2507</v>
      </c>
      <c r="D353" s="26">
        <f>F353</f>
        <v>11.6628</v>
      </c>
      <c r="E353" s="26">
        <f>F353</f>
        <v>11.6628</v>
      </c>
      <c r="F353" s="26">
        <f>ROUND(11.6628,4)</f>
        <v>11.6628</v>
      </c>
      <c r="G353" s="24"/>
      <c r="H353" s="36"/>
    </row>
    <row r="354" spans="1:8" ht="12.75" customHeight="1">
      <c r="A354" s="22">
        <v>42807</v>
      </c>
      <c r="B354" s="22"/>
      <c r="C354" s="26">
        <f>ROUND(11.2507198960899,4)</f>
        <v>11.2507</v>
      </c>
      <c r="D354" s="26">
        <f>F354</f>
        <v>11.6628</v>
      </c>
      <c r="E354" s="26">
        <f>F354</f>
        <v>11.6628</v>
      </c>
      <c r="F354" s="26">
        <f>ROUND(11.6628,4)</f>
        <v>11.6628</v>
      </c>
      <c r="G354" s="24"/>
      <c r="H354" s="36"/>
    </row>
    <row r="355" spans="1:8" ht="12.75" customHeight="1">
      <c r="A355" s="22" t="s">
        <v>79</v>
      </c>
      <c r="B355" s="22"/>
      <c r="C355" s="23"/>
      <c r="D355" s="23"/>
      <c r="E355" s="23"/>
      <c r="F355" s="23"/>
      <c r="G355" s="24"/>
      <c r="H355" s="36"/>
    </row>
    <row r="356" spans="1:8" ht="12.75" customHeight="1">
      <c r="A356" s="22">
        <v>42534</v>
      </c>
      <c r="B356" s="22"/>
      <c r="C356" s="26">
        <f>ROUND(5.25377370366556,4)</f>
        <v>5.2538</v>
      </c>
      <c r="D356" s="26">
        <f>F356</f>
        <v>5.2515</v>
      </c>
      <c r="E356" s="26">
        <f>F356</f>
        <v>5.2515</v>
      </c>
      <c r="F356" s="26">
        <f>ROUND(5.2515,4)</f>
        <v>5.2515</v>
      </c>
      <c r="G356" s="24"/>
      <c r="H356" s="36"/>
    </row>
    <row r="357" spans="1:8" ht="12.75" customHeight="1">
      <c r="A357" s="22">
        <v>42632</v>
      </c>
      <c r="B357" s="22"/>
      <c r="C357" s="26">
        <f>ROUND(5.25377370366556,4)</f>
        <v>5.2538</v>
      </c>
      <c r="D357" s="26">
        <f>F357</f>
        <v>5.2294</v>
      </c>
      <c r="E357" s="26">
        <f>F357</f>
        <v>5.2294</v>
      </c>
      <c r="F357" s="26">
        <f>ROUND(5.2294,4)</f>
        <v>5.2294</v>
      </c>
      <c r="G357" s="24"/>
      <c r="H357" s="36"/>
    </row>
    <row r="358" spans="1:8" ht="12.75" customHeight="1">
      <c r="A358" s="22">
        <v>42723</v>
      </c>
      <c r="B358" s="22"/>
      <c r="C358" s="26">
        <f>ROUND(5.25377370366556,4)</f>
        <v>5.2538</v>
      </c>
      <c r="D358" s="26">
        <f>F358</f>
        <v>5.2157</v>
      </c>
      <c r="E358" s="26">
        <f>F358</f>
        <v>5.2157</v>
      </c>
      <c r="F358" s="26">
        <f>ROUND(5.2157,4)</f>
        <v>5.2157</v>
      </c>
      <c r="G358" s="24"/>
      <c r="H358" s="36"/>
    </row>
    <row r="359" spans="1:8" ht="12.75" customHeight="1">
      <c r="A359" s="22" t="s">
        <v>80</v>
      </c>
      <c r="B359" s="22"/>
      <c r="C359" s="23"/>
      <c r="D359" s="23"/>
      <c r="E359" s="23"/>
      <c r="F359" s="23"/>
      <c r="G359" s="24"/>
      <c r="H359" s="36"/>
    </row>
    <row r="360" spans="1:8" ht="12.75" customHeight="1">
      <c r="A360" s="22">
        <v>42534</v>
      </c>
      <c r="B360" s="22"/>
      <c r="C360" s="26">
        <f>ROUND(15.3026666666667,4)</f>
        <v>15.3027</v>
      </c>
      <c r="D360" s="26">
        <f>F360</f>
        <v>15.3211</v>
      </c>
      <c r="E360" s="26">
        <f>F360</f>
        <v>15.3211</v>
      </c>
      <c r="F360" s="26">
        <f>ROUND(15.3211,4)</f>
        <v>15.3211</v>
      </c>
      <c r="G360" s="24"/>
      <c r="H360" s="36"/>
    </row>
    <row r="361" spans="1:8" ht="12.75" customHeight="1">
      <c r="A361" s="22">
        <v>42632</v>
      </c>
      <c r="B361" s="22"/>
      <c r="C361" s="26">
        <f>ROUND(15.3026666666667,4)</f>
        <v>15.3027</v>
      </c>
      <c r="D361" s="26">
        <f>F361</f>
        <v>15.6231</v>
      </c>
      <c r="E361" s="26">
        <f>F361</f>
        <v>15.6231</v>
      </c>
      <c r="F361" s="26">
        <f>ROUND(15.6231,4)</f>
        <v>15.6231</v>
      </c>
      <c r="G361" s="24"/>
      <c r="H361" s="36"/>
    </row>
    <row r="362" spans="1:8" ht="12.75" customHeight="1">
      <c r="A362" s="22">
        <v>42723</v>
      </c>
      <c r="B362" s="22"/>
      <c r="C362" s="26">
        <f>ROUND(15.3026666666667,4)</f>
        <v>15.3027</v>
      </c>
      <c r="D362" s="26">
        <f>F362</f>
        <v>15.9095</v>
      </c>
      <c r="E362" s="26">
        <f>F362</f>
        <v>15.9095</v>
      </c>
      <c r="F362" s="26">
        <f>ROUND(15.9095,4)</f>
        <v>15.9095</v>
      </c>
      <c r="G362" s="24"/>
      <c r="H362" s="36"/>
    </row>
    <row r="363" spans="1:8" ht="12.75" customHeight="1">
      <c r="A363" s="22">
        <v>42807</v>
      </c>
      <c r="B363" s="22"/>
      <c r="C363" s="26">
        <f>ROUND(15.3026666666667,4)</f>
        <v>15.3027</v>
      </c>
      <c r="D363" s="26">
        <f>F363</f>
        <v>16.1802</v>
      </c>
      <c r="E363" s="26">
        <f>F363</f>
        <v>16.1802</v>
      </c>
      <c r="F363" s="26">
        <f>ROUND(16.1802,4)</f>
        <v>16.1802</v>
      </c>
      <c r="G363" s="24"/>
      <c r="H363" s="36"/>
    </row>
    <row r="364" spans="1:8" ht="12.75" customHeight="1">
      <c r="A364" s="22">
        <v>42905</v>
      </c>
      <c r="B364" s="22"/>
      <c r="C364" s="26">
        <f>ROUND(15.3026666666667,4)</f>
        <v>15.3027</v>
      </c>
      <c r="D364" s="26">
        <f>F364</f>
        <v>16.4683</v>
      </c>
      <c r="E364" s="26">
        <f>F364</f>
        <v>16.4683</v>
      </c>
      <c r="F364" s="26">
        <f>ROUND(16.4683,4)</f>
        <v>16.4683</v>
      </c>
      <c r="G364" s="24"/>
      <c r="H364" s="36"/>
    </row>
    <row r="365" spans="1:8" ht="12.75" customHeight="1">
      <c r="A365" s="22" t="s">
        <v>81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42534</v>
      </c>
      <c r="B366" s="22"/>
      <c r="C366" s="26">
        <f>ROUND(15.3026666666667,4)</f>
        <v>15.3027</v>
      </c>
      <c r="D366" s="26">
        <f>F366</f>
        <v>15.3211</v>
      </c>
      <c r="E366" s="26">
        <f>F366</f>
        <v>15.3211</v>
      </c>
      <c r="F366" s="26">
        <f>ROUND(15.3211,4)</f>
        <v>15.3211</v>
      </c>
      <c r="G366" s="24"/>
      <c r="H366" s="36"/>
    </row>
    <row r="367" spans="1:8" ht="12.75" customHeight="1">
      <c r="A367" s="22">
        <v>42632</v>
      </c>
      <c r="B367" s="22"/>
      <c r="C367" s="26">
        <f>ROUND(15.3026666666667,4)</f>
        <v>15.3027</v>
      </c>
      <c r="D367" s="26">
        <f>F367</f>
        <v>15.6231</v>
      </c>
      <c r="E367" s="26">
        <f>F367</f>
        <v>15.6231</v>
      </c>
      <c r="F367" s="26">
        <f>ROUND(15.6231,4)</f>
        <v>15.6231</v>
      </c>
      <c r="G367" s="24"/>
      <c r="H367" s="36"/>
    </row>
    <row r="368" spans="1:8" ht="12.75" customHeight="1">
      <c r="A368" s="22">
        <v>42723</v>
      </c>
      <c r="B368" s="22"/>
      <c r="C368" s="26">
        <f>ROUND(15.3026666666667,4)</f>
        <v>15.3027</v>
      </c>
      <c r="D368" s="26">
        <f>F368</f>
        <v>15.9095</v>
      </c>
      <c r="E368" s="26">
        <f>F368</f>
        <v>15.9095</v>
      </c>
      <c r="F368" s="26">
        <f>ROUND(15.9095,4)</f>
        <v>15.9095</v>
      </c>
      <c r="G368" s="24"/>
      <c r="H368" s="36"/>
    </row>
    <row r="369" spans="1:8" ht="12.75" customHeight="1">
      <c r="A369" s="22">
        <v>42807</v>
      </c>
      <c r="B369" s="22"/>
      <c r="C369" s="26">
        <f>ROUND(15.3026666666667,4)</f>
        <v>15.3027</v>
      </c>
      <c r="D369" s="26">
        <f>F369</f>
        <v>16.1802</v>
      </c>
      <c r="E369" s="26">
        <f>F369</f>
        <v>16.1802</v>
      </c>
      <c r="F369" s="26">
        <f>ROUND(16.1802,4)</f>
        <v>16.1802</v>
      </c>
      <c r="G369" s="24"/>
      <c r="H369" s="36"/>
    </row>
    <row r="370" spans="1:8" ht="12.75" customHeight="1">
      <c r="A370" s="22">
        <v>42905</v>
      </c>
      <c r="B370" s="22"/>
      <c r="C370" s="26">
        <f>ROUND(15.3026666666667,4)</f>
        <v>15.3027</v>
      </c>
      <c r="D370" s="26">
        <f>F370</f>
        <v>16.4683</v>
      </c>
      <c r="E370" s="26">
        <f>F370</f>
        <v>16.4683</v>
      </c>
      <c r="F370" s="26">
        <f>ROUND(16.4683,4)</f>
        <v>16.4683</v>
      </c>
      <c r="G370" s="24"/>
      <c r="H370" s="36"/>
    </row>
    <row r="371" spans="1:8" ht="12.75" customHeight="1">
      <c r="A371" s="22">
        <v>42996</v>
      </c>
      <c r="B371" s="22"/>
      <c r="C371" s="26">
        <f>ROUND(15.3026666666667,4)</f>
        <v>15.3027</v>
      </c>
      <c r="D371" s="26">
        <f>F371</f>
        <v>16.515</v>
      </c>
      <c r="E371" s="26">
        <f>F371</f>
        <v>16.515</v>
      </c>
      <c r="F371" s="26">
        <f>ROUND(16.515,4)</f>
        <v>16.515</v>
      </c>
      <c r="G371" s="24"/>
      <c r="H371" s="36"/>
    </row>
    <row r="372" spans="1:8" ht="12.75" customHeight="1">
      <c r="A372" s="22">
        <v>43087</v>
      </c>
      <c r="B372" s="22"/>
      <c r="C372" s="26">
        <f>ROUND(15.3026666666667,4)</f>
        <v>15.3027</v>
      </c>
      <c r="D372" s="26">
        <f>F372</f>
        <v>16.5616</v>
      </c>
      <c r="E372" s="26">
        <f>F372</f>
        <v>16.5616</v>
      </c>
      <c r="F372" s="26">
        <f>ROUND(16.5616,4)</f>
        <v>16.5616</v>
      </c>
      <c r="G372" s="24"/>
      <c r="H372" s="36"/>
    </row>
    <row r="373" spans="1:8" ht="12.75" customHeight="1">
      <c r="A373" s="22">
        <v>43175</v>
      </c>
      <c r="B373" s="22"/>
      <c r="C373" s="26">
        <f>ROUND(15.3026666666667,4)</f>
        <v>15.3027</v>
      </c>
      <c r="D373" s="26">
        <f>F373</f>
        <v>17.5004</v>
      </c>
      <c r="E373" s="26">
        <f>F373</f>
        <v>17.5004</v>
      </c>
      <c r="F373" s="26">
        <f>ROUND(17.5004,4)</f>
        <v>17.5004</v>
      </c>
      <c r="G373" s="24"/>
      <c r="H373" s="36"/>
    </row>
    <row r="374" spans="1:8" ht="12.75" customHeight="1">
      <c r="A374" s="22">
        <v>43178</v>
      </c>
      <c r="B374" s="22"/>
      <c r="C374" s="26">
        <f>ROUND(15.3026666666667,4)</f>
        <v>15.3027</v>
      </c>
      <c r="D374" s="26">
        <f>F374</f>
        <v>16.6083</v>
      </c>
      <c r="E374" s="26">
        <f>F374</f>
        <v>16.6083</v>
      </c>
      <c r="F374" s="26">
        <f>ROUND(16.6083,4)</f>
        <v>16.6083</v>
      </c>
      <c r="G374" s="24"/>
      <c r="H374" s="36"/>
    </row>
    <row r="375" spans="1:8" ht="12.75" customHeight="1">
      <c r="A375" s="22">
        <v>43269</v>
      </c>
      <c r="B375" s="22"/>
      <c r="C375" s="26">
        <f>ROUND(15.3026666666667,4)</f>
        <v>15.3027</v>
      </c>
      <c r="D375" s="26">
        <f>F375</f>
        <v>16.7254</v>
      </c>
      <c r="E375" s="26">
        <f>F375</f>
        <v>16.7254</v>
      </c>
      <c r="F375" s="26">
        <f>ROUND(16.7254,4)</f>
        <v>16.7254</v>
      </c>
      <c r="G375" s="24"/>
      <c r="H375" s="36"/>
    </row>
    <row r="376" spans="1:8" ht="12.75" customHeight="1">
      <c r="A376" s="22">
        <v>43360</v>
      </c>
      <c r="B376" s="22"/>
      <c r="C376" s="26">
        <f>ROUND(15.3026666666667,4)</f>
        <v>15.3027</v>
      </c>
      <c r="D376" s="26">
        <f>F376</f>
        <v>17.3548</v>
      </c>
      <c r="E376" s="26">
        <f>F376</f>
        <v>17.3548</v>
      </c>
      <c r="F376" s="26">
        <f>ROUND(17.3548,4)</f>
        <v>17.3548</v>
      </c>
      <c r="G376" s="24"/>
      <c r="H376" s="36"/>
    </row>
    <row r="377" spans="1:8" ht="12.75" customHeight="1">
      <c r="A377" s="22">
        <v>43448</v>
      </c>
      <c r="B377" s="22"/>
      <c r="C377" s="26">
        <f>ROUND(15.3026666666667,4)</f>
        <v>15.3027</v>
      </c>
      <c r="D377" s="26">
        <f>F377</f>
        <v>17.9634</v>
      </c>
      <c r="E377" s="26">
        <f>F377</f>
        <v>17.9634</v>
      </c>
      <c r="F377" s="26">
        <f>ROUND(17.9634,4)</f>
        <v>17.9634</v>
      </c>
      <c r="G377" s="24"/>
      <c r="H377" s="36"/>
    </row>
    <row r="378" spans="1:8" ht="12.75" customHeight="1">
      <c r="A378" s="22">
        <v>43542</v>
      </c>
      <c r="B378" s="22"/>
      <c r="C378" s="26">
        <f>ROUND(15.3026666666667,4)</f>
        <v>15.3027</v>
      </c>
      <c r="D378" s="26">
        <f>F378</f>
        <v>18.6135</v>
      </c>
      <c r="E378" s="26">
        <f>F378</f>
        <v>18.6135</v>
      </c>
      <c r="F378" s="26">
        <f>ROUND(18.6135,4)</f>
        <v>18.6135</v>
      </c>
      <c r="G378" s="24"/>
      <c r="H378" s="36"/>
    </row>
    <row r="379" spans="1:8" ht="12.75" customHeight="1">
      <c r="A379" s="22">
        <v>43630</v>
      </c>
      <c r="B379" s="22"/>
      <c r="C379" s="26">
        <f>ROUND(15.3026666666667,4)</f>
        <v>15.3027</v>
      </c>
      <c r="D379" s="26">
        <f>F379</f>
        <v>19.2221</v>
      </c>
      <c r="E379" s="26">
        <f>F379</f>
        <v>19.2221</v>
      </c>
      <c r="F379" s="26">
        <f>ROUND(19.2221,4)</f>
        <v>19.2221</v>
      </c>
      <c r="G379" s="24"/>
      <c r="H379" s="36"/>
    </row>
    <row r="380" spans="1:8" ht="12.75" customHeight="1">
      <c r="A380" s="22" t="s">
        <v>82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42534</v>
      </c>
      <c r="B381" s="22"/>
      <c r="C381" s="26">
        <f>ROUND(1.45283078578436,4)</f>
        <v>1.4528</v>
      </c>
      <c r="D381" s="26">
        <f>F381</f>
        <v>1.4474</v>
      </c>
      <c r="E381" s="26">
        <f>F381</f>
        <v>1.4474</v>
      </c>
      <c r="F381" s="26">
        <f>ROUND(1.4474,4)</f>
        <v>1.4474</v>
      </c>
      <c r="G381" s="24"/>
      <c r="H381" s="36"/>
    </row>
    <row r="382" spans="1:8" ht="12.75" customHeight="1">
      <c r="A382" s="22">
        <v>42632</v>
      </c>
      <c r="B382" s="22"/>
      <c r="C382" s="26">
        <f>ROUND(1.45283078578436,4)</f>
        <v>1.4528</v>
      </c>
      <c r="D382" s="26">
        <f>F382</f>
        <v>1.3841</v>
      </c>
      <c r="E382" s="26">
        <f>F382</f>
        <v>1.3841</v>
      </c>
      <c r="F382" s="26">
        <f>ROUND(1.3841,4)</f>
        <v>1.3841</v>
      </c>
      <c r="G382" s="24"/>
      <c r="H382" s="36"/>
    </row>
    <row r="383" spans="1:8" ht="12.75" customHeight="1">
      <c r="A383" s="22">
        <v>42723</v>
      </c>
      <c r="B383" s="22"/>
      <c r="C383" s="26">
        <f>ROUND(1.45283078578436,4)</f>
        <v>1.4528</v>
      </c>
      <c r="D383" s="26">
        <f>F383</f>
        <v>1.3039</v>
      </c>
      <c r="E383" s="26">
        <f>F383</f>
        <v>1.3039</v>
      </c>
      <c r="F383" s="26">
        <f>ROUND(1.3039,4)</f>
        <v>1.3039</v>
      </c>
      <c r="G383" s="24"/>
      <c r="H383" s="36"/>
    </row>
    <row r="384" spans="1:8" ht="12.75" customHeight="1">
      <c r="A384" s="22">
        <v>42807</v>
      </c>
      <c r="B384" s="22"/>
      <c r="C384" s="26">
        <f>ROUND(1.45283078578436,4)</f>
        <v>1.4528</v>
      </c>
      <c r="D384" s="26">
        <f>F384</f>
        <v>1.2565</v>
      </c>
      <c r="E384" s="26">
        <f>F384</f>
        <v>1.2565</v>
      </c>
      <c r="F384" s="26">
        <f>ROUND(1.2565,4)</f>
        <v>1.2565</v>
      </c>
      <c r="G384" s="24"/>
      <c r="H384" s="36"/>
    </row>
    <row r="385" spans="1:8" ht="12.75" customHeight="1">
      <c r="A385" s="22" t="s">
        <v>83</v>
      </c>
      <c r="B385" s="22"/>
      <c r="C385" s="23"/>
      <c r="D385" s="23"/>
      <c r="E385" s="23"/>
      <c r="F385" s="23"/>
      <c r="G385" s="24"/>
      <c r="H385" s="36"/>
    </row>
    <row r="386" spans="1:8" ht="12.75" customHeight="1">
      <c r="A386" s="22">
        <v>42586</v>
      </c>
      <c r="B386" s="22"/>
      <c r="C386" s="27">
        <f>ROUND(543.643,3)</f>
        <v>543.643</v>
      </c>
      <c r="D386" s="27">
        <f>F386</f>
        <v>550.573</v>
      </c>
      <c r="E386" s="27">
        <f>F386</f>
        <v>550.573</v>
      </c>
      <c r="F386" s="27">
        <f>ROUND(550.573,3)</f>
        <v>550.573</v>
      </c>
      <c r="G386" s="24"/>
      <c r="H386" s="36"/>
    </row>
    <row r="387" spans="1:8" ht="12.75" customHeight="1">
      <c r="A387" s="22">
        <v>42677</v>
      </c>
      <c r="B387" s="22"/>
      <c r="C387" s="27">
        <f>ROUND(543.643,3)</f>
        <v>543.643</v>
      </c>
      <c r="D387" s="27">
        <f>F387</f>
        <v>561.156</v>
      </c>
      <c r="E387" s="27">
        <f>F387</f>
        <v>561.156</v>
      </c>
      <c r="F387" s="27">
        <f>ROUND(561.156,3)</f>
        <v>561.156</v>
      </c>
      <c r="G387" s="24"/>
      <c r="H387" s="36"/>
    </row>
    <row r="388" spans="1:8" ht="12.75" customHeight="1">
      <c r="A388" s="22">
        <v>42768</v>
      </c>
      <c r="B388" s="22"/>
      <c r="C388" s="27">
        <f>ROUND(543.643,3)</f>
        <v>543.643</v>
      </c>
      <c r="D388" s="27">
        <f>F388</f>
        <v>572.426</v>
      </c>
      <c r="E388" s="27">
        <f>F388</f>
        <v>572.426</v>
      </c>
      <c r="F388" s="27">
        <f>ROUND(572.426,3)</f>
        <v>572.426</v>
      </c>
      <c r="G388" s="24"/>
      <c r="H388" s="36"/>
    </row>
    <row r="389" spans="1:8" ht="12.75" customHeight="1">
      <c r="A389" s="22">
        <v>42859</v>
      </c>
      <c r="B389" s="22"/>
      <c r="C389" s="27">
        <f>ROUND(543.643,3)</f>
        <v>543.643</v>
      </c>
      <c r="D389" s="27">
        <f>F389</f>
        <v>584.6</v>
      </c>
      <c r="E389" s="27">
        <f>F389</f>
        <v>584.6</v>
      </c>
      <c r="F389" s="27">
        <f>ROUND(584.6,3)</f>
        <v>584.6</v>
      </c>
      <c r="G389" s="24"/>
      <c r="H389" s="36"/>
    </row>
    <row r="390" spans="1:8" ht="12.75" customHeight="1">
      <c r="A390" s="22" t="s">
        <v>84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42586</v>
      </c>
      <c r="B391" s="22"/>
      <c r="C391" s="27">
        <f>ROUND(477.532,3)</f>
        <v>477.532</v>
      </c>
      <c r="D391" s="27">
        <f>F391</f>
        <v>483.62</v>
      </c>
      <c r="E391" s="27">
        <f>F391</f>
        <v>483.62</v>
      </c>
      <c r="F391" s="27">
        <f>ROUND(483.62,3)</f>
        <v>483.62</v>
      </c>
      <c r="G391" s="24"/>
      <c r="H391" s="36"/>
    </row>
    <row r="392" spans="1:8" ht="12.75" customHeight="1">
      <c r="A392" s="22">
        <v>42677</v>
      </c>
      <c r="B392" s="22"/>
      <c r="C392" s="27">
        <f>ROUND(477.532,3)</f>
        <v>477.532</v>
      </c>
      <c r="D392" s="27">
        <f>F392</f>
        <v>492.915</v>
      </c>
      <c r="E392" s="27">
        <f>F392</f>
        <v>492.915</v>
      </c>
      <c r="F392" s="27">
        <f>ROUND(492.915,3)</f>
        <v>492.915</v>
      </c>
      <c r="G392" s="24"/>
      <c r="H392" s="36"/>
    </row>
    <row r="393" spans="1:8" ht="12.75" customHeight="1">
      <c r="A393" s="22">
        <v>42768</v>
      </c>
      <c r="B393" s="22"/>
      <c r="C393" s="27">
        <f>ROUND(477.532,3)</f>
        <v>477.532</v>
      </c>
      <c r="D393" s="27">
        <f>F393</f>
        <v>502.815</v>
      </c>
      <c r="E393" s="27">
        <f>F393</f>
        <v>502.815</v>
      </c>
      <c r="F393" s="27">
        <f>ROUND(502.815,3)</f>
        <v>502.815</v>
      </c>
      <c r="G393" s="24"/>
      <c r="H393" s="36"/>
    </row>
    <row r="394" spans="1:8" ht="12.75" customHeight="1">
      <c r="A394" s="22">
        <v>42859</v>
      </c>
      <c r="B394" s="22"/>
      <c r="C394" s="27">
        <f>ROUND(477.532,3)</f>
        <v>477.532</v>
      </c>
      <c r="D394" s="27">
        <f>F394</f>
        <v>513.508</v>
      </c>
      <c r="E394" s="27">
        <f>F394</f>
        <v>513.508</v>
      </c>
      <c r="F394" s="27">
        <f>ROUND(513.508,3)</f>
        <v>513.508</v>
      </c>
      <c r="G394" s="24"/>
      <c r="H394" s="36"/>
    </row>
    <row r="395" spans="1:8" ht="12.75" customHeight="1">
      <c r="A395" s="22" t="s">
        <v>85</v>
      </c>
      <c r="B395" s="22"/>
      <c r="C395" s="23"/>
      <c r="D395" s="23"/>
      <c r="E395" s="23"/>
      <c r="F395" s="23"/>
      <c r="G395" s="24"/>
      <c r="H395" s="36"/>
    </row>
    <row r="396" spans="1:8" ht="12.75" customHeight="1">
      <c r="A396" s="22">
        <v>42586</v>
      </c>
      <c r="B396" s="22"/>
      <c r="C396" s="27">
        <f>ROUND(548.705,3)</f>
        <v>548.705</v>
      </c>
      <c r="D396" s="27">
        <f>F396</f>
        <v>555.7</v>
      </c>
      <c r="E396" s="27">
        <f>F396</f>
        <v>555.7</v>
      </c>
      <c r="F396" s="27">
        <f>ROUND(555.7,3)</f>
        <v>555.7</v>
      </c>
      <c r="G396" s="24"/>
      <c r="H396" s="36"/>
    </row>
    <row r="397" spans="1:8" ht="12.75" customHeight="1">
      <c r="A397" s="22">
        <v>42677</v>
      </c>
      <c r="B397" s="22"/>
      <c r="C397" s="27">
        <f>ROUND(548.705,3)</f>
        <v>548.705</v>
      </c>
      <c r="D397" s="27">
        <f>F397</f>
        <v>566.381</v>
      </c>
      <c r="E397" s="27">
        <f>F397</f>
        <v>566.381</v>
      </c>
      <c r="F397" s="27">
        <f>ROUND(566.381,3)</f>
        <v>566.381</v>
      </c>
      <c r="G397" s="24"/>
      <c r="H397" s="36"/>
    </row>
    <row r="398" spans="1:8" ht="12.75" customHeight="1">
      <c r="A398" s="22">
        <v>42768</v>
      </c>
      <c r="B398" s="22"/>
      <c r="C398" s="27">
        <f>ROUND(548.705,3)</f>
        <v>548.705</v>
      </c>
      <c r="D398" s="27">
        <f>F398</f>
        <v>577.756</v>
      </c>
      <c r="E398" s="27">
        <f>F398</f>
        <v>577.756</v>
      </c>
      <c r="F398" s="27">
        <f>ROUND(577.756,3)</f>
        <v>577.756</v>
      </c>
      <c r="G398" s="24"/>
      <c r="H398" s="36"/>
    </row>
    <row r="399" spans="1:8" ht="12.75" customHeight="1">
      <c r="A399" s="22">
        <v>42859</v>
      </c>
      <c r="B399" s="22"/>
      <c r="C399" s="27">
        <f>ROUND(548.705,3)</f>
        <v>548.705</v>
      </c>
      <c r="D399" s="27">
        <f>F399</f>
        <v>590.043</v>
      </c>
      <c r="E399" s="27">
        <f>F399</f>
        <v>590.043</v>
      </c>
      <c r="F399" s="27">
        <f>ROUND(590.043,3)</f>
        <v>590.043</v>
      </c>
      <c r="G399" s="24"/>
      <c r="H399" s="36"/>
    </row>
    <row r="400" spans="1:8" ht="12.75" customHeight="1">
      <c r="A400" s="22" t="s">
        <v>86</v>
      </c>
      <c r="B400" s="22"/>
      <c r="C400" s="23"/>
      <c r="D400" s="23"/>
      <c r="E400" s="23"/>
      <c r="F400" s="23"/>
      <c r="G400" s="24"/>
      <c r="H400" s="36"/>
    </row>
    <row r="401" spans="1:8" ht="12.75" customHeight="1">
      <c r="A401" s="22">
        <v>42586</v>
      </c>
      <c r="B401" s="22"/>
      <c r="C401" s="27">
        <f>ROUND(500.015,3)</f>
        <v>500.015</v>
      </c>
      <c r="D401" s="27">
        <f>F401</f>
        <v>506.389</v>
      </c>
      <c r="E401" s="27">
        <f>F401</f>
        <v>506.389</v>
      </c>
      <c r="F401" s="27">
        <f>ROUND(506.389,3)</f>
        <v>506.389</v>
      </c>
      <c r="G401" s="24"/>
      <c r="H401" s="36"/>
    </row>
    <row r="402" spans="1:8" ht="12.75" customHeight="1">
      <c r="A402" s="22">
        <v>42677</v>
      </c>
      <c r="B402" s="22"/>
      <c r="C402" s="27">
        <f>ROUND(500.015,3)</f>
        <v>500.015</v>
      </c>
      <c r="D402" s="27">
        <f>F402</f>
        <v>516.122</v>
      </c>
      <c r="E402" s="27">
        <f>F402</f>
        <v>516.122</v>
      </c>
      <c r="F402" s="27">
        <f>ROUND(516.122,3)</f>
        <v>516.122</v>
      </c>
      <c r="G402" s="24"/>
      <c r="H402" s="36"/>
    </row>
    <row r="403" spans="1:8" ht="12.75" customHeight="1">
      <c r="A403" s="22">
        <v>42768</v>
      </c>
      <c r="B403" s="22"/>
      <c r="C403" s="27">
        <f>ROUND(500.015,3)</f>
        <v>500.015</v>
      </c>
      <c r="D403" s="27">
        <f>F403</f>
        <v>526.488</v>
      </c>
      <c r="E403" s="27">
        <f>F403</f>
        <v>526.488</v>
      </c>
      <c r="F403" s="27">
        <f>ROUND(526.488,3)</f>
        <v>526.488</v>
      </c>
      <c r="G403" s="24"/>
      <c r="H403" s="36"/>
    </row>
    <row r="404" spans="1:8" ht="12.75" customHeight="1">
      <c r="A404" s="22">
        <v>42859</v>
      </c>
      <c r="B404" s="22"/>
      <c r="C404" s="27">
        <f>ROUND(500.015,3)</f>
        <v>500.015</v>
      </c>
      <c r="D404" s="27">
        <f>F404</f>
        <v>537.685</v>
      </c>
      <c r="E404" s="27">
        <f>F404</f>
        <v>537.685</v>
      </c>
      <c r="F404" s="27">
        <f>ROUND(537.685,3)</f>
        <v>537.685</v>
      </c>
      <c r="G404" s="24"/>
      <c r="H404" s="36"/>
    </row>
    <row r="405" spans="1:8" ht="12.75" customHeight="1">
      <c r="A405" s="22" t="s">
        <v>87</v>
      </c>
      <c r="B405" s="22"/>
      <c r="C405" s="23"/>
      <c r="D405" s="23"/>
      <c r="E405" s="23"/>
      <c r="F405" s="23"/>
      <c r="G405" s="24"/>
      <c r="H405" s="36"/>
    </row>
    <row r="406" spans="1:8" ht="12.75" customHeight="1">
      <c r="A406" s="22">
        <v>42586</v>
      </c>
      <c r="B406" s="22"/>
      <c r="C406" s="27">
        <f>ROUND(242.837859064654,3)</f>
        <v>242.838</v>
      </c>
      <c r="D406" s="27">
        <f>F406</f>
        <v>245.947</v>
      </c>
      <c r="E406" s="27">
        <f>F406</f>
        <v>245.947</v>
      </c>
      <c r="F406" s="27">
        <f>ROUND(245.947,3)</f>
        <v>245.947</v>
      </c>
      <c r="G406" s="24"/>
      <c r="H406" s="36"/>
    </row>
    <row r="407" spans="1:8" ht="12.75" customHeight="1">
      <c r="A407" s="22">
        <v>42677</v>
      </c>
      <c r="B407" s="22"/>
      <c r="C407" s="27">
        <f>ROUND(242.837859064654,3)</f>
        <v>242.838</v>
      </c>
      <c r="D407" s="27">
        <f>F407</f>
        <v>250.695</v>
      </c>
      <c r="E407" s="27">
        <f>F407</f>
        <v>250.695</v>
      </c>
      <c r="F407" s="27">
        <f>ROUND(250.695,3)</f>
        <v>250.695</v>
      </c>
      <c r="G407" s="24"/>
      <c r="H407" s="36"/>
    </row>
    <row r="408" spans="1:8" ht="12.75" customHeight="1">
      <c r="A408" s="22">
        <v>42768</v>
      </c>
      <c r="B408" s="22"/>
      <c r="C408" s="27">
        <f>ROUND(242.837859064654,3)</f>
        <v>242.838</v>
      </c>
      <c r="D408" s="27">
        <f>F408</f>
        <v>255.749</v>
      </c>
      <c r="E408" s="27">
        <f>F408</f>
        <v>255.749</v>
      </c>
      <c r="F408" s="27">
        <f>ROUND(255.749,3)</f>
        <v>255.749</v>
      </c>
      <c r="G408" s="24"/>
      <c r="H408" s="36"/>
    </row>
    <row r="409" spans="1:8" ht="12.75" customHeight="1">
      <c r="A409" s="22">
        <v>42859</v>
      </c>
      <c r="B409" s="22"/>
      <c r="C409" s="27">
        <f>ROUND(242.837859064654,3)</f>
        <v>242.838</v>
      </c>
      <c r="D409" s="27">
        <f>F409</f>
        <v>261.206</v>
      </c>
      <c r="E409" s="27">
        <f>F409</f>
        <v>261.206</v>
      </c>
      <c r="F409" s="27">
        <f>ROUND(261.206,3)</f>
        <v>261.206</v>
      </c>
      <c r="G409" s="24"/>
      <c r="H409" s="36"/>
    </row>
    <row r="410" spans="1:8" ht="12.75" customHeight="1">
      <c r="A410" s="22" t="s">
        <v>88</v>
      </c>
      <c r="B410" s="22"/>
      <c r="C410" s="23"/>
      <c r="D410" s="23"/>
      <c r="E410" s="23"/>
      <c r="F410" s="23"/>
      <c r="G410" s="24"/>
      <c r="H410" s="36"/>
    </row>
    <row r="411" spans="1:8" ht="12.75" customHeight="1">
      <c r="A411" s="22">
        <v>42586</v>
      </c>
      <c r="B411" s="22"/>
      <c r="C411" s="27">
        <f>ROUND(658.518102502323,3)</f>
        <v>658.518</v>
      </c>
      <c r="D411" s="27">
        <f>F411</f>
        <v>666.906</v>
      </c>
      <c r="E411" s="27">
        <f>F411</f>
        <v>666.906</v>
      </c>
      <c r="F411" s="27">
        <f>ROUND(666.906,3)</f>
        <v>666.906</v>
      </c>
      <c r="G411" s="24"/>
      <c r="H411" s="36"/>
    </row>
    <row r="412" spans="1:8" ht="12.75" customHeight="1">
      <c r="A412" s="22">
        <v>42677</v>
      </c>
      <c r="B412" s="22"/>
      <c r="C412" s="27">
        <f>ROUND(658.518102502323,3)</f>
        <v>658.518</v>
      </c>
      <c r="D412" s="27">
        <f>F412</f>
        <v>679.636</v>
      </c>
      <c r="E412" s="27">
        <f>F412</f>
        <v>679.636</v>
      </c>
      <c r="F412" s="27">
        <f>ROUND(679.636,3)</f>
        <v>679.636</v>
      </c>
      <c r="G412" s="24"/>
      <c r="H412" s="36"/>
    </row>
    <row r="413" spans="1:8" ht="12.75" customHeight="1">
      <c r="A413" s="22">
        <v>42768</v>
      </c>
      <c r="B413" s="22"/>
      <c r="C413" s="27">
        <f>ROUND(658.518102502323,3)</f>
        <v>658.518</v>
      </c>
      <c r="D413" s="27">
        <f>F413</f>
        <v>693.081</v>
      </c>
      <c r="E413" s="27">
        <f>F413</f>
        <v>693.081</v>
      </c>
      <c r="F413" s="27">
        <f>ROUND(693.081,3)</f>
        <v>693.081</v>
      </c>
      <c r="G413" s="24"/>
      <c r="H413" s="36"/>
    </row>
    <row r="414" spans="1:8" ht="12.75" customHeight="1">
      <c r="A414" s="22">
        <v>42859</v>
      </c>
      <c r="B414" s="22"/>
      <c r="C414" s="27">
        <f>ROUND(658.518102502323,3)</f>
        <v>658.518</v>
      </c>
      <c r="D414" s="27">
        <f>F414</f>
        <v>706.875</v>
      </c>
      <c r="E414" s="27">
        <f>F414</f>
        <v>706.875</v>
      </c>
      <c r="F414" s="27">
        <f>ROUND(706.875,3)</f>
        <v>706.875</v>
      </c>
      <c r="G414" s="24"/>
      <c r="H414" s="36"/>
    </row>
    <row r="415" spans="1:8" ht="12.75" customHeight="1">
      <c r="A415" s="22" t="s">
        <v>89</v>
      </c>
      <c r="B415" s="22"/>
      <c r="C415" s="23"/>
      <c r="D415" s="23"/>
      <c r="E415" s="23"/>
      <c r="F415" s="23"/>
      <c r="G415" s="24"/>
      <c r="H415" s="36"/>
    </row>
    <row r="416" spans="1:8" ht="12.75" customHeight="1">
      <c r="A416" s="22">
        <v>42534</v>
      </c>
      <c r="B416" s="22"/>
      <c r="C416" s="24">
        <f>ROUND(27077.98,2)</f>
        <v>27077.98</v>
      </c>
      <c r="D416" s="24">
        <f>F416</f>
        <v>27120.64</v>
      </c>
      <c r="E416" s="24">
        <f>F416</f>
        <v>27120.64</v>
      </c>
      <c r="F416" s="24">
        <f>ROUND(27120.64,2)</f>
        <v>27120.64</v>
      </c>
      <c r="G416" s="24"/>
      <c r="H416" s="36"/>
    </row>
    <row r="417" spans="1:8" ht="12.75" customHeight="1">
      <c r="A417" s="22">
        <v>42632</v>
      </c>
      <c r="B417" s="22"/>
      <c r="C417" s="24">
        <f>ROUND(27077.98,2)</f>
        <v>27077.98</v>
      </c>
      <c r="D417" s="24">
        <f>F417</f>
        <v>27674.42</v>
      </c>
      <c r="E417" s="24">
        <f>F417</f>
        <v>27674.42</v>
      </c>
      <c r="F417" s="24">
        <f>ROUND(27674.42,2)</f>
        <v>27674.42</v>
      </c>
      <c r="G417" s="24"/>
      <c r="H417" s="36"/>
    </row>
    <row r="418" spans="1:8" ht="12.75" customHeight="1">
      <c r="A418" s="22">
        <v>42723</v>
      </c>
      <c r="B418" s="22"/>
      <c r="C418" s="24">
        <f>ROUND(27077.98,2)</f>
        <v>27077.98</v>
      </c>
      <c r="D418" s="24">
        <f>F418</f>
        <v>28194.18</v>
      </c>
      <c r="E418" s="24">
        <f>F418</f>
        <v>28194.18</v>
      </c>
      <c r="F418" s="24">
        <f>ROUND(28194.18,2)</f>
        <v>28194.18</v>
      </c>
      <c r="G418" s="24"/>
      <c r="H418" s="36"/>
    </row>
    <row r="419" spans="1:8" ht="12.75" customHeight="1">
      <c r="A419" s="22" t="s">
        <v>90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42536</v>
      </c>
      <c r="B420" s="22"/>
      <c r="C420" s="27">
        <f>ROUND(7.30833,3)</f>
        <v>7.308</v>
      </c>
      <c r="D420" s="27">
        <f>ROUND(7.38,3)</f>
        <v>7.38</v>
      </c>
      <c r="E420" s="27">
        <f>ROUND(7.28,3)</f>
        <v>7.28</v>
      </c>
      <c r="F420" s="27">
        <f>ROUND(7.33,3)</f>
        <v>7.33</v>
      </c>
      <c r="G420" s="24"/>
      <c r="H420" s="36"/>
    </row>
    <row r="421" spans="1:8" ht="12.75" customHeight="1">
      <c r="A421" s="22">
        <v>42571</v>
      </c>
      <c r="B421" s="22"/>
      <c r="C421" s="27">
        <f>ROUND(7.30833,3)</f>
        <v>7.308</v>
      </c>
      <c r="D421" s="27">
        <f>ROUND(7.52,3)</f>
        <v>7.52</v>
      </c>
      <c r="E421" s="27">
        <f>ROUND(7.42,3)</f>
        <v>7.42</v>
      </c>
      <c r="F421" s="27">
        <f>ROUND(7.47,3)</f>
        <v>7.47</v>
      </c>
      <c r="G421" s="24"/>
      <c r="H421" s="36"/>
    </row>
    <row r="422" spans="1:8" ht="12.75" customHeight="1">
      <c r="A422" s="22">
        <v>42599</v>
      </c>
      <c r="B422" s="22"/>
      <c r="C422" s="27">
        <f>ROUND(7.30833,3)</f>
        <v>7.308</v>
      </c>
      <c r="D422" s="27">
        <f>ROUND(7.56,3)</f>
        <v>7.56</v>
      </c>
      <c r="E422" s="27">
        <f>ROUND(7.46,3)</f>
        <v>7.46</v>
      </c>
      <c r="F422" s="27">
        <f>ROUND(7.51,3)</f>
        <v>7.51</v>
      </c>
      <c r="G422" s="24"/>
      <c r="H422" s="36"/>
    </row>
    <row r="423" spans="1:8" ht="12.75" customHeight="1">
      <c r="A423" s="22">
        <v>42634</v>
      </c>
      <c r="B423" s="22"/>
      <c r="C423" s="27">
        <f>ROUND(7.30833,3)</f>
        <v>7.308</v>
      </c>
      <c r="D423" s="27">
        <f>ROUND(7.69,3)</f>
        <v>7.69</v>
      </c>
      <c r="E423" s="27">
        <f>ROUND(7.59,3)</f>
        <v>7.59</v>
      </c>
      <c r="F423" s="27">
        <f>ROUND(7.64,3)</f>
        <v>7.64</v>
      </c>
      <c r="G423" s="24"/>
      <c r="H423" s="36"/>
    </row>
    <row r="424" spans="1:8" ht="12.75" customHeight="1">
      <c r="A424" s="22">
        <v>42662</v>
      </c>
      <c r="B424" s="22"/>
      <c r="C424" s="27">
        <f>ROUND(7.30833,3)</f>
        <v>7.308</v>
      </c>
      <c r="D424" s="27">
        <f>ROUND(7.73,3)</f>
        <v>7.73</v>
      </c>
      <c r="E424" s="27">
        <f>ROUND(7.63,3)</f>
        <v>7.63</v>
      </c>
      <c r="F424" s="27">
        <f>ROUND(7.68,3)</f>
        <v>7.68</v>
      </c>
      <c r="G424" s="24"/>
      <c r="H424" s="36"/>
    </row>
    <row r="425" spans="1:8" ht="12.75" customHeight="1">
      <c r="A425" s="22">
        <v>42690</v>
      </c>
      <c r="B425" s="22"/>
      <c r="C425" s="27">
        <f>ROUND(7.30833,3)</f>
        <v>7.308</v>
      </c>
      <c r="D425" s="27">
        <f>ROUND(7.76,3)</f>
        <v>7.76</v>
      </c>
      <c r="E425" s="27">
        <f>ROUND(7.66,3)</f>
        <v>7.66</v>
      </c>
      <c r="F425" s="27">
        <f>ROUND(7.71,3)</f>
        <v>7.71</v>
      </c>
      <c r="G425" s="24"/>
      <c r="H425" s="36"/>
    </row>
    <row r="426" spans="1:8" ht="12.75" customHeight="1">
      <c r="A426" s="22">
        <v>42725</v>
      </c>
      <c r="B426" s="22"/>
      <c r="C426" s="27">
        <f>ROUND(7.30833,3)</f>
        <v>7.308</v>
      </c>
      <c r="D426" s="27">
        <f>ROUND(7.89,3)</f>
        <v>7.89</v>
      </c>
      <c r="E426" s="27">
        <f>ROUND(7.79,3)</f>
        <v>7.79</v>
      </c>
      <c r="F426" s="27">
        <f>ROUND(7.84,3)</f>
        <v>7.84</v>
      </c>
      <c r="G426" s="24"/>
      <c r="H426" s="36"/>
    </row>
    <row r="427" spans="1:8" ht="12.75" customHeight="1">
      <c r="A427" s="22">
        <v>42809</v>
      </c>
      <c r="B427" s="22"/>
      <c r="C427" s="27">
        <f>ROUND(7.30833,3)</f>
        <v>7.308</v>
      </c>
      <c r="D427" s="27">
        <f>ROUND(8.12,3)</f>
        <v>8.12</v>
      </c>
      <c r="E427" s="27">
        <f>ROUND(8.02,3)</f>
        <v>8.02</v>
      </c>
      <c r="F427" s="27">
        <f>ROUND(8.07,3)</f>
        <v>8.07</v>
      </c>
      <c r="G427" s="24"/>
      <c r="H427" s="36"/>
    </row>
    <row r="428" spans="1:8" ht="12.75" customHeight="1">
      <c r="A428" s="22">
        <v>42907</v>
      </c>
      <c r="B428" s="22"/>
      <c r="C428" s="27">
        <f>ROUND(7.30833,3)</f>
        <v>7.308</v>
      </c>
      <c r="D428" s="27">
        <f>ROUND(8.28,3)</f>
        <v>8.28</v>
      </c>
      <c r="E428" s="27">
        <f>ROUND(8.18,3)</f>
        <v>8.18</v>
      </c>
      <c r="F428" s="27">
        <f>ROUND(8.23,3)</f>
        <v>8.23</v>
      </c>
      <c r="G428" s="24"/>
      <c r="H428" s="36"/>
    </row>
    <row r="429" spans="1:8" ht="12.75" customHeight="1">
      <c r="A429" s="22">
        <v>42998</v>
      </c>
      <c r="B429" s="22"/>
      <c r="C429" s="27">
        <f>ROUND(7.30833,3)</f>
        <v>7.308</v>
      </c>
      <c r="D429" s="27">
        <f>ROUND(8.37,3)</f>
        <v>8.37</v>
      </c>
      <c r="E429" s="27">
        <f>ROUND(8.27,3)</f>
        <v>8.27</v>
      </c>
      <c r="F429" s="27">
        <f>ROUND(8.32,3)</f>
        <v>8.32</v>
      </c>
      <c r="G429" s="24"/>
      <c r="H429" s="36"/>
    </row>
    <row r="430" spans="1:8" ht="12.75" customHeight="1">
      <c r="A430" s="22">
        <v>43089</v>
      </c>
      <c r="B430" s="22"/>
      <c r="C430" s="27">
        <f>ROUND(7.30833,3)</f>
        <v>7.308</v>
      </c>
      <c r="D430" s="27">
        <f>ROUND(8.44,3)</f>
        <v>8.44</v>
      </c>
      <c r="E430" s="27">
        <f>ROUND(8.34,3)</f>
        <v>8.34</v>
      </c>
      <c r="F430" s="27">
        <f>ROUND(8.39,3)</f>
        <v>8.39</v>
      </c>
      <c r="G430" s="24"/>
      <c r="H430" s="36"/>
    </row>
    <row r="431" spans="1:8" ht="12.75" customHeight="1">
      <c r="A431" s="22">
        <v>43179</v>
      </c>
      <c r="B431" s="22"/>
      <c r="C431" s="27">
        <f>ROUND(7.30833,3)</f>
        <v>7.308</v>
      </c>
      <c r="D431" s="27">
        <f>ROUND(8.51,3)</f>
        <v>8.51</v>
      </c>
      <c r="E431" s="27">
        <f>ROUND(8.41,3)</f>
        <v>8.41</v>
      </c>
      <c r="F431" s="27">
        <f>ROUND(8.46,3)</f>
        <v>8.46</v>
      </c>
      <c r="G431" s="24"/>
      <c r="H431" s="36"/>
    </row>
    <row r="432" spans="1:8" ht="12.75" customHeight="1">
      <c r="A432" s="22" t="s">
        <v>91</v>
      </c>
      <c r="B432" s="22"/>
      <c r="C432" s="23"/>
      <c r="D432" s="23"/>
      <c r="E432" s="23"/>
      <c r="F432" s="23"/>
      <c r="G432" s="24"/>
      <c r="H432" s="36"/>
    </row>
    <row r="433" spans="1:8" ht="12.75" customHeight="1">
      <c r="A433" s="22">
        <v>42586</v>
      </c>
      <c r="B433" s="22"/>
      <c r="C433" s="27">
        <f>ROUND(498.636,3)</f>
        <v>498.636</v>
      </c>
      <c r="D433" s="27">
        <f>F433</f>
        <v>504.993</v>
      </c>
      <c r="E433" s="27">
        <f>F433</f>
        <v>504.993</v>
      </c>
      <c r="F433" s="27">
        <f>ROUND(504.993,3)</f>
        <v>504.993</v>
      </c>
      <c r="G433" s="24"/>
      <c r="H433" s="36"/>
    </row>
    <row r="434" spans="1:8" ht="12.75" customHeight="1">
      <c r="A434" s="22">
        <v>42677</v>
      </c>
      <c r="B434" s="22"/>
      <c r="C434" s="27">
        <f>ROUND(498.636,3)</f>
        <v>498.636</v>
      </c>
      <c r="D434" s="27">
        <f>F434</f>
        <v>514.699</v>
      </c>
      <c r="E434" s="27">
        <f>F434</f>
        <v>514.699</v>
      </c>
      <c r="F434" s="27">
        <f>ROUND(514.699,3)</f>
        <v>514.699</v>
      </c>
      <c r="G434" s="24"/>
      <c r="H434" s="36"/>
    </row>
    <row r="435" spans="1:8" ht="12.75" customHeight="1">
      <c r="A435" s="22">
        <v>42768</v>
      </c>
      <c r="B435" s="22"/>
      <c r="C435" s="27">
        <f>ROUND(498.636,3)</f>
        <v>498.636</v>
      </c>
      <c r="D435" s="27">
        <f>F435</f>
        <v>525.036</v>
      </c>
      <c r="E435" s="27">
        <f>F435</f>
        <v>525.036</v>
      </c>
      <c r="F435" s="27">
        <f>ROUND(525.036,3)</f>
        <v>525.036</v>
      </c>
      <c r="G435" s="24"/>
      <c r="H435" s="36"/>
    </row>
    <row r="436" spans="1:8" ht="12.75" customHeight="1">
      <c r="A436" s="22">
        <v>42859</v>
      </c>
      <c r="B436" s="22"/>
      <c r="C436" s="27">
        <f>ROUND(498.636,3)</f>
        <v>498.636</v>
      </c>
      <c r="D436" s="27">
        <f>F436</f>
        <v>536.202</v>
      </c>
      <c r="E436" s="27">
        <f>F436</f>
        <v>536.202</v>
      </c>
      <c r="F436" s="27">
        <f>ROUND(536.202,3)</f>
        <v>536.202</v>
      </c>
      <c r="G436" s="24"/>
      <c r="H436" s="36"/>
    </row>
    <row r="437" spans="1:8" ht="12.75" customHeight="1">
      <c r="A437" s="22" t="s">
        <v>92</v>
      </c>
      <c r="B437" s="22"/>
      <c r="C437" s="23"/>
      <c r="D437" s="23"/>
      <c r="E437" s="23"/>
      <c r="F437" s="23"/>
      <c r="G437" s="24"/>
      <c r="H437" s="36"/>
    </row>
    <row r="438" spans="1:8" ht="12.75" customHeight="1">
      <c r="A438" s="22">
        <v>42723</v>
      </c>
      <c r="B438" s="22"/>
      <c r="C438" s="25">
        <f>ROUND(99.8854120746161,5)</f>
        <v>99.88541</v>
      </c>
      <c r="D438" s="25">
        <f>F438</f>
        <v>100.11683</v>
      </c>
      <c r="E438" s="25">
        <f>F438</f>
        <v>100.11683</v>
      </c>
      <c r="F438" s="25">
        <f>ROUND(100.116825392175,5)</f>
        <v>100.11683</v>
      </c>
      <c r="G438" s="24"/>
      <c r="H438" s="36"/>
    </row>
    <row r="439" spans="1:8" ht="12.75" customHeight="1">
      <c r="A439" s="22" t="s">
        <v>93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42810</v>
      </c>
      <c r="B440" s="22"/>
      <c r="C440" s="25">
        <f>ROUND(99.8854120746161,5)</f>
        <v>99.88541</v>
      </c>
      <c r="D440" s="25">
        <f>F440</f>
        <v>100.13713</v>
      </c>
      <c r="E440" s="25">
        <f>F440</f>
        <v>100.13713</v>
      </c>
      <c r="F440" s="25">
        <f>ROUND(100.137126783488,5)</f>
        <v>100.13713</v>
      </c>
      <c r="G440" s="24"/>
      <c r="H440" s="36"/>
    </row>
    <row r="441" spans="1:8" ht="12.75" customHeight="1">
      <c r="A441" s="22" t="s">
        <v>94</v>
      </c>
      <c r="B441" s="22"/>
      <c r="C441" s="23"/>
      <c r="D441" s="23"/>
      <c r="E441" s="23"/>
      <c r="F441" s="23"/>
      <c r="G441" s="24"/>
      <c r="H441" s="36"/>
    </row>
    <row r="442" spans="1:8" ht="12.75" customHeight="1">
      <c r="A442" s="22">
        <v>42901</v>
      </c>
      <c r="B442" s="22"/>
      <c r="C442" s="25">
        <f>ROUND(99.8854120746161,5)</f>
        <v>99.88541</v>
      </c>
      <c r="D442" s="25">
        <f>F442</f>
        <v>99.88541</v>
      </c>
      <c r="E442" s="25">
        <f>F442</f>
        <v>99.88541</v>
      </c>
      <c r="F442" s="25">
        <f>ROUND(99.8854120746161,5)</f>
        <v>99.88541</v>
      </c>
      <c r="G442" s="24"/>
      <c r="H442" s="36"/>
    </row>
    <row r="443" spans="1:8" ht="12.75" customHeight="1">
      <c r="A443" s="22" t="s">
        <v>95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43087</v>
      </c>
      <c r="B444" s="22"/>
      <c r="C444" s="25">
        <f>ROUND(99.875653525713,5)</f>
        <v>99.87565</v>
      </c>
      <c r="D444" s="25">
        <f>F444</f>
        <v>100.54418</v>
      </c>
      <c r="E444" s="25">
        <f>F444</f>
        <v>100.54418</v>
      </c>
      <c r="F444" s="25">
        <f>ROUND(100.544177282979,5)</f>
        <v>100.54418</v>
      </c>
      <c r="G444" s="24"/>
      <c r="H444" s="36"/>
    </row>
    <row r="445" spans="1:8" ht="12.75" customHeight="1">
      <c r="A445" s="22" t="s">
        <v>96</v>
      </c>
      <c r="B445" s="22"/>
      <c r="C445" s="23"/>
      <c r="D445" s="23"/>
      <c r="E445" s="23"/>
      <c r="F445" s="23"/>
      <c r="G445" s="24"/>
      <c r="H445" s="36"/>
    </row>
    <row r="446" spans="1:8" ht="12.75" customHeight="1">
      <c r="A446" s="22">
        <v>43175</v>
      </c>
      <c r="B446" s="22"/>
      <c r="C446" s="25">
        <f>ROUND(99.875653525713,5)</f>
        <v>99.87565</v>
      </c>
      <c r="D446" s="25">
        <f>F446</f>
        <v>100.00841</v>
      </c>
      <c r="E446" s="25">
        <f>F446</f>
        <v>100.00841</v>
      </c>
      <c r="F446" s="25">
        <f>ROUND(100.008405697168,5)</f>
        <v>100.00841</v>
      </c>
      <c r="G446" s="24"/>
      <c r="H446" s="36"/>
    </row>
    <row r="447" spans="1:8" ht="12.75" customHeight="1">
      <c r="A447" s="22" t="s">
        <v>97</v>
      </c>
      <c r="B447" s="22"/>
      <c r="C447" s="23"/>
      <c r="D447" s="23"/>
      <c r="E447" s="23"/>
      <c r="F447" s="23"/>
      <c r="G447" s="24"/>
      <c r="H447" s="36"/>
    </row>
    <row r="448" spans="1:8" ht="12.75" customHeight="1">
      <c r="A448" s="22">
        <v>43266</v>
      </c>
      <c r="B448" s="22"/>
      <c r="C448" s="25">
        <f>ROUND(99.875653525713,5)</f>
        <v>99.87565</v>
      </c>
      <c r="D448" s="25">
        <f>F448</f>
        <v>99.87565</v>
      </c>
      <c r="E448" s="25">
        <f>F448</f>
        <v>99.87565</v>
      </c>
      <c r="F448" s="25">
        <f>ROUND(99.875653525713,5)</f>
        <v>99.87565</v>
      </c>
      <c r="G448" s="24"/>
      <c r="H448" s="36"/>
    </row>
    <row r="449" spans="1:8" ht="12.75" customHeight="1">
      <c r="A449" s="22" t="s">
        <v>98</v>
      </c>
      <c r="B449" s="22"/>
      <c r="C449" s="23"/>
      <c r="D449" s="23"/>
      <c r="E449" s="23"/>
      <c r="F449" s="23"/>
      <c r="G449" s="24"/>
      <c r="H449" s="36"/>
    </row>
    <row r="450" spans="1:8" ht="12.75" customHeight="1">
      <c r="A450" s="22">
        <v>44182</v>
      </c>
      <c r="B450" s="22"/>
      <c r="C450" s="25">
        <f>ROUND(99.6738682407839,5)</f>
        <v>99.67387</v>
      </c>
      <c r="D450" s="25">
        <f>F450</f>
        <v>100.68977</v>
      </c>
      <c r="E450" s="25">
        <f>F450</f>
        <v>100.68977</v>
      </c>
      <c r="F450" s="25">
        <f>ROUND(100.689771061467,5)</f>
        <v>100.68977</v>
      </c>
      <c r="G450" s="24"/>
      <c r="H450" s="36"/>
    </row>
    <row r="451" spans="1:8" ht="12.75" customHeight="1">
      <c r="A451" s="22" t="s">
        <v>99</v>
      </c>
      <c r="B451" s="22"/>
      <c r="C451" s="23"/>
      <c r="D451" s="23"/>
      <c r="E451" s="23"/>
      <c r="F451" s="23"/>
      <c r="G451" s="24"/>
      <c r="H451" s="36"/>
    </row>
    <row r="452" spans="1:8" ht="12.75" customHeight="1">
      <c r="A452" s="22">
        <v>44271</v>
      </c>
      <c r="B452" s="22"/>
      <c r="C452" s="25">
        <f>ROUND(99.6738682407839,5)</f>
        <v>99.67387</v>
      </c>
      <c r="D452" s="25">
        <f>F452</f>
        <v>100.19639</v>
      </c>
      <c r="E452" s="25">
        <f>F452</f>
        <v>100.19639</v>
      </c>
      <c r="F452" s="25">
        <f>ROUND(100.196388704226,5)</f>
        <v>100.19639</v>
      </c>
      <c r="G452" s="24"/>
      <c r="H452" s="36"/>
    </row>
    <row r="453" spans="1:8" ht="12.75" customHeight="1">
      <c r="A453" s="22" t="s">
        <v>100</v>
      </c>
      <c r="B453" s="22"/>
      <c r="C453" s="23"/>
      <c r="D453" s="23"/>
      <c r="E453" s="23"/>
      <c r="F453" s="23"/>
      <c r="G453" s="24"/>
      <c r="H453" s="36"/>
    </row>
    <row r="454" spans="1:8" ht="12.75" customHeight="1">
      <c r="A454" s="22">
        <v>44362</v>
      </c>
      <c r="B454" s="22"/>
      <c r="C454" s="25">
        <f>ROUND(99.6738682407839,5)</f>
        <v>99.67387</v>
      </c>
      <c r="D454" s="25">
        <f>F454</f>
        <v>99.67387</v>
      </c>
      <c r="E454" s="25">
        <f>F454</f>
        <v>99.67387</v>
      </c>
      <c r="F454" s="25">
        <f>ROUND(99.6738682407839,5)</f>
        <v>99.67387</v>
      </c>
      <c r="G454" s="24"/>
      <c r="H454" s="36"/>
    </row>
    <row r="455" spans="1:8" ht="12.75" customHeight="1">
      <c r="A455" s="22" t="s">
        <v>101</v>
      </c>
      <c r="B455" s="22"/>
      <c r="C455" s="23"/>
      <c r="D455" s="23"/>
      <c r="E455" s="23"/>
      <c r="F455" s="23"/>
      <c r="G455" s="24"/>
      <c r="H455" s="36"/>
    </row>
    <row r="456" spans="1:8" ht="12.75" customHeight="1">
      <c r="A456" s="22">
        <v>46008</v>
      </c>
      <c r="B456" s="22"/>
      <c r="C456" s="25">
        <f>ROUND(98.9274387575302,5)</f>
        <v>98.92744</v>
      </c>
      <c r="D456" s="25">
        <f>F456</f>
        <v>102.77085</v>
      </c>
      <c r="E456" s="25">
        <f>F456</f>
        <v>102.77085</v>
      </c>
      <c r="F456" s="25">
        <f>ROUND(102.770853141122,5)</f>
        <v>102.77085</v>
      </c>
      <c r="G456" s="24"/>
      <c r="H456" s="36"/>
    </row>
    <row r="457" spans="1:8" ht="12.75" customHeight="1">
      <c r="A457" s="22" t="s">
        <v>102</v>
      </c>
      <c r="B457" s="22"/>
      <c r="C457" s="23"/>
      <c r="D457" s="23"/>
      <c r="E457" s="23"/>
      <c r="F457" s="23"/>
      <c r="G457" s="24"/>
      <c r="H457" s="36"/>
    </row>
    <row r="458" spans="1:8" ht="12.75" customHeight="1">
      <c r="A458" s="22">
        <v>46097</v>
      </c>
      <c r="B458" s="22"/>
      <c r="C458" s="25">
        <f>ROUND(98.9274387575302,5)</f>
        <v>98.92744</v>
      </c>
      <c r="D458" s="25">
        <f>F458</f>
        <v>100.02693</v>
      </c>
      <c r="E458" s="25">
        <f>F458</f>
        <v>100.02693</v>
      </c>
      <c r="F458" s="25">
        <f>ROUND(100.026927194646,5)</f>
        <v>100.02693</v>
      </c>
      <c r="G458" s="24"/>
      <c r="H458" s="36"/>
    </row>
    <row r="459" spans="1:8" ht="12.75" customHeight="1">
      <c r="A459" s="22" t="s">
        <v>103</v>
      </c>
      <c r="B459" s="22"/>
      <c r="C459" s="23"/>
      <c r="D459" s="23"/>
      <c r="E459" s="23"/>
      <c r="F459" s="23"/>
      <c r="G459" s="24"/>
      <c r="H459" s="36"/>
    </row>
    <row r="460" spans="1:8" ht="12.75" customHeight="1" thickBot="1">
      <c r="A460" s="32">
        <v>46188</v>
      </c>
      <c r="B460" s="32"/>
      <c r="C460" s="33">
        <f>ROUND(98.9274387575302,5)</f>
        <v>98.92744</v>
      </c>
      <c r="D460" s="33">
        <f>F460</f>
        <v>98.92744</v>
      </c>
      <c r="E460" s="33">
        <f>F460</f>
        <v>98.92744</v>
      </c>
      <c r="F460" s="33">
        <f>ROUND(98.9274387575302,5)</f>
        <v>98.92744</v>
      </c>
      <c r="G460" s="34"/>
      <c r="H460" s="37"/>
    </row>
  </sheetData>
  <sheetProtection/>
  <mergeCells count="459">
    <mergeCell ref="A460:B460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Jseuser</cp:lastModifiedBy>
  <cp:lastPrinted>2008-12-04T15:24:37Z</cp:lastPrinted>
  <dcterms:created xsi:type="dcterms:W3CDTF">1997-08-29T10:04:45Z</dcterms:created>
  <dcterms:modified xsi:type="dcterms:W3CDTF">2016-06-03T15:44:19Z</dcterms:modified>
  <cp:category/>
  <cp:version/>
  <cp:contentType/>
  <cp:contentStatus/>
</cp:coreProperties>
</file>