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'Jerry'!$A$1:$H$497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<sst xmlns="http://schemas.openxmlformats.org/spreadsheetml/2006/main" count="122" uniqueCount="122">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</sst>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6"/>
  <sheetViews>
    <sheetView tabSelected="1" zoomScaleSheetLayoutView="75" zoomScalePageLayoutView="0" workbookViewId="0" topLeftCell="A1">
      <selection activeCell="R13" sqref="R13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42929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ROUND(2.6,5)</f>
        <v>2.6</v>
      </c>
      <c r="D6" s="24">
        <f>F6</f>
        <v>2.6</v>
      </c>
      <c r="E6" s="24">
        <f>F6</f>
        <v>2.6</v>
      </c>
      <c r="F6" s="24">
        <f>ROUND(2.6,5)</f>
        <v>2.6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ROUND(2.54,5)</f>
        <v>2.54</v>
      </c>
      <c r="D8" s="24">
        <f>F8</f>
        <v>2.54</v>
      </c>
      <c r="E8" s="24">
        <f>F8</f>
        <v>2.54</v>
      </c>
      <c r="F8" s="24">
        <f>ROUND(2.54,5)</f>
        <v>2.54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ROUND(2.6,5)</f>
        <v>2.6</v>
      </c>
      <c r="D10" s="24">
        <f>F10</f>
        <v>2.6</v>
      </c>
      <c r="E10" s="24">
        <f>F10</f>
        <v>2.6</v>
      </c>
      <c r="F10" s="24">
        <f>ROUND(2.6,5)</f>
        <v>2.6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ROUND(3.21,5)</f>
        <v>3.21</v>
      </c>
      <c r="D12" s="24">
        <f>F12</f>
        <v>3.21</v>
      </c>
      <c r="E12" s="24">
        <f>F12</f>
        <v>3.21</v>
      </c>
      <c r="F12" s="24">
        <f>ROUND(3.21,5)</f>
        <v>3.21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ROUND(10.84,5)</f>
        <v>10.84</v>
      </c>
      <c r="D14" s="24">
        <f>F14</f>
        <v>10.84</v>
      </c>
      <c r="E14" s="24">
        <f>F14</f>
        <v>10.84</v>
      </c>
      <c r="F14" s="24">
        <f>ROUND(10.84,5)</f>
        <v>10.84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ROUND(8.165,5)</f>
        <v>8.165</v>
      </c>
      <c r="D16" s="24">
        <f>F16</f>
        <v>8.165</v>
      </c>
      <c r="E16" s="24">
        <f>F16</f>
        <v>8.165</v>
      </c>
      <c r="F16" s="24">
        <f>ROUND(8.165,5)</f>
        <v>8.165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ROUND(8.75,3)</f>
        <v>8.75</v>
      </c>
      <c r="D18" s="29">
        <f>F18</f>
        <v>8.75</v>
      </c>
      <c r="E18" s="29">
        <f>F18</f>
        <v>8.75</v>
      </c>
      <c r="F18" s="29">
        <f>ROUND(8.75,3)</f>
        <v>8.75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ROUND(2.59,3)</f>
        <v>2.59</v>
      </c>
      <c r="D20" s="29">
        <f>F20</f>
        <v>2.59</v>
      </c>
      <c r="E20" s="29">
        <f>F20</f>
        <v>2.59</v>
      </c>
      <c r="F20" s="29">
        <f>ROUND(2.59,3)</f>
        <v>2.59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ROUND(2.57,3)</f>
        <v>2.57</v>
      </c>
      <c r="D22" s="29">
        <f>F22</f>
        <v>2.57</v>
      </c>
      <c r="E22" s="29">
        <f>F22</f>
        <v>2.57</v>
      </c>
      <c r="F22" s="29">
        <f>ROUND(2.57,3)</f>
        <v>2.57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ROUND(7.42,3)</f>
        <v>7.42</v>
      </c>
      <c r="D24" s="29">
        <f>F24</f>
        <v>7.42</v>
      </c>
      <c r="E24" s="29">
        <f>F24</f>
        <v>7.42</v>
      </c>
      <c r="F24" s="29">
        <f>ROUND(7.42,3)</f>
        <v>7.42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ROUND(7.475,3)</f>
        <v>7.475</v>
      </c>
      <c r="D26" s="29">
        <f>F26</f>
        <v>7.475</v>
      </c>
      <c r="E26" s="29">
        <f>F26</f>
        <v>7.475</v>
      </c>
      <c r="F26" s="29">
        <f>ROUND(7.475,3)</f>
        <v>7.475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ROUND(7.62,3)</f>
        <v>7.62</v>
      </c>
      <c r="D28" s="29">
        <f>F28</f>
        <v>7.62</v>
      </c>
      <c r="E28" s="29">
        <f>F28</f>
        <v>7.62</v>
      </c>
      <c r="F28" s="29">
        <f>ROUND(7.62,3)</f>
        <v>7.62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ROUND(7.75,3)</f>
        <v>7.75</v>
      </c>
      <c r="D30" s="29">
        <f>F30</f>
        <v>7.75</v>
      </c>
      <c r="E30" s="29">
        <f>F30</f>
        <v>7.75</v>
      </c>
      <c r="F30" s="29">
        <f>ROUND(7.75,3)</f>
        <v>7.75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ROUND(9.63,3)</f>
        <v>9.63</v>
      </c>
      <c r="D32" s="29">
        <f>F32</f>
        <v>9.63</v>
      </c>
      <c r="E32" s="29">
        <f>F32</f>
        <v>9.63</v>
      </c>
      <c r="F32" s="29">
        <f>ROUND(9.63,3)</f>
        <v>9.63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ROUND(2.49,3)</f>
        <v>2.49</v>
      </c>
      <c r="D34" s="29">
        <f>F34</f>
        <v>2.49</v>
      </c>
      <c r="E34" s="29">
        <f>F34</f>
        <v>2.49</v>
      </c>
      <c r="F34" s="29">
        <f>ROUND(2.49,3)</f>
        <v>2.49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ROUND(2.6,3)</f>
        <v>2.6</v>
      </c>
      <c r="D36" s="29">
        <f>F36</f>
        <v>2.6</v>
      </c>
      <c r="E36" s="29">
        <f>F36</f>
        <v>2.6</v>
      </c>
      <c r="F36" s="29">
        <f>ROUND(2.6,3)</f>
        <v>2.6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ROUND(9.36,3)</f>
        <v>9.36</v>
      </c>
      <c r="D38" s="29">
        <f>F38</f>
        <v>9.36</v>
      </c>
      <c r="E38" s="29">
        <f>F38</f>
        <v>9.36</v>
      </c>
      <c r="F38" s="29">
        <f>ROUND(9.36,3)</f>
        <v>9.36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42950</v>
      </c>
      <c r="B40" s="23"/>
      <c r="C40" s="24">
        <f>ROUND(2.6,5)</f>
        <v>2.6</v>
      </c>
      <c r="D40" s="24">
        <f>F40</f>
        <v>126.92665</v>
      </c>
      <c r="E40" s="24">
        <f>F40</f>
        <v>126.92665</v>
      </c>
      <c r="F40" s="24">
        <f>ROUND(126.92665,5)</f>
        <v>126.92665</v>
      </c>
      <c r="G40" s="25"/>
      <c r="H40" s="26"/>
    </row>
    <row r="41" spans="1:8" ht="12.75" customHeight="1">
      <c r="A41" s="23">
        <v>43041</v>
      </c>
      <c r="B41" s="23"/>
      <c r="C41" s="24">
        <f>ROUND(2.6,5)</f>
        <v>2.6</v>
      </c>
      <c r="D41" s="24">
        <f>F41</f>
        <v>129.37438</v>
      </c>
      <c r="E41" s="24">
        <f>F41</f>
        <v>129.37438</v>
      </c>
      <c r="F41" s="24">
        <f>ROUND(129.37438,5)</f>
        <v>129.37438</v>
      </c>
      <c r="G41" s="25"/>
      <c r="H41" s="26"/>
    </row>
    <row r="42" spans="1:8" ht="12.75" customHeight="1">
      <c r="A42" s="23">
        <v>43132</v>
      </c>
      <c r="B42" s="23"/>
      <c r="C42" s="24">
        <f>ROUND(2.6,5)</f>
        <v>2.6</v>
      </c>
      <c r="D42" s="24">
        <f>F42</f>
        <v>130.57278</v>
      </c>
      <c r="E42" s="24">
        <f>F42</f>
        <v>130.57278</v>
      </c>
      <c r="F42" s="24">
        <f>ROUND(130.57278,5)</f>
        <v>130.57278</v>
      </c>
      <c r="G42" s="25"/>
      <c r="H42" s="26"/>
    </row>
    <row r="43" spans="1:8" ht="12.75" customHeight="1">
      <c r="A43" s="23">
        <v>43223</v>
      </c>
      <c r="B43" s="23"/>
      <c r="C43" s="24">
        <f>ROUND(2.6,5)</f>
        <v>2.6</v>
      </c>
      <c r="D43" s="24">
        <f>F43</f>
        <v>133.19852</v>
      </c>
      <c r="E43" s="24">
        <f>F43</f>
        <v>133.19852</v>
      </c>
      <c r="F43" s="24">
        <f>ROUND(133.19852,5)</f>
        <v>133.19852</v>
      </c>
      <c r="G43" s="25"/>
      <c r="H43" s="26"/>
    </row>
    <row r="44" spans="1:8" ht="12.75" customHeight="1">
      <c r="A44" s="23">
        <v>43314</v>
      </c>
      <c r="B44" s="23"/>
      <c r="C44" s="24">
        <f>ROUND(2.6,5)</f>
        <v>2.6</v>
      </c>
      <c r="D44" s="24">
        <f>F44</f>
        <v>135.81874</v>
      </c>
      <c r="E44" s="24">
        <f>F44</f>
        <v>135.81874</v>
      </c>
      <c r="F44" s="24">
        <f>ROUND(135.81874,5)</f>
        <v>135.81874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42950</v>
      </c>
      <c r="B46" s="23"/>
      <c r="C46" s="24">
        <f>ROUND(98.57023,5)</f>
        <v>98.57023</v>
      </c>
      <c r="D46" s="24">
        <f>F46</f>
        <v>98.99811</v>
      </c>
      <c r="E46" s="24">
        <f>F46</f>
        <v>98.99811</v>
      </c>
      <c r="F46" s="24">
        <f>ROUND(98.99811,5)</f>
        <v>98.99811</v>
      </c>
      <c r="G46" s="25"/>
      <c r="H46" s="26"/>
    </row>
    <row r="47" spans="1:8" ht="12.75" customHeight="1">
      <c r="A47" s="23">
        <v>43041</v>
      </c>
      <c r="B47" s="23"/>
      <c r="C47" s="24">
        <f>ROUND(98.57023,5)</f>
        <v>98.57023</v>
      </c>
      <c r="D47" s="24">
        <f>F47</f>
        <v>99.89976</v>
      </c>
      <c r="E47" s="24">
        <f>F47</f>
        <v>99.89976</v>
      </c>
      <c r="F47" s="24">
        <f>ROUND(99.89976,5)</f>
        <v>99.89976</v>
      </c>
      <c r="G47" s="25"/>
      <c r="H47" s="26"/>
    </row>
    <row r="48" spans="1:8" ht="12.75" customHeight="1">
      <c r="A48" s="23">
        <v>43132</v>
      </c>
      <c r="B48" s="23"/>
      <c r="C48" s="24">
        <f>ROUND(98.57023,5)</f>
        <v>98.57023</v>
      </c>
      <c r="D48" s="24">
        <f>F48</f>
        <v>101.86917</v>
      </c>
      <c r="E48" s="24">
        <f>F48</f>
        <v>101.86917</v>
      </c>
      <c r="F48" s="24">
        <f>ROUND(101.86917,5)</f>
        <v>101.86917</v>
      </c>
      <c r="G48" s="25"/>
      <c r="H48" s="26"/>
    </row>
    <row r="49" spans="1:8" ht="12.75" customHeight="1">
      <c r="A49" s="23">
        <v>43223</v>
      </c>
      <c r="B49" s="23"/>
      <c r="C49" s="24">
        <f>ROUND(98.57023,5)</f>
        <v>98.57023</v>
      </c>
      <c r="D49" s="24">
        <f>F49</f>
        <v>102.88934</v>
      </c>
      <c r="E49" s="24">
        <f>F49</f>
        <v>102.88934</v>
      </c>
      <c r="F49" s="24">
        <f>ROUND(102.88934,5)</f>
        <v>102.88934</v>
      </c>
      <c r="G49" s="25"/>
      <c r="H49" s="26"/>
    </row>
    <row r="50" spans="1:8" ht="12.75" customHeight="1">
      <c r="A50" s="23">
        <v>43314</v>
      </c>
      <c r="B50" s="23"/>
      <c r="C50" s="24">
        <f>ROUND(98.57023,5)</f>
        <v>98.57023</v>
      </c>
      <c r="D50" s="24">
        <f>F50</f>
        <v>104.91309</v>
      </c>
      <c r="E50" s="24">
        <f>F50</f>
        <v>104.91309</v>
      </c>
      <c r="F50" s="24">
        <f>ROUND(104.91309,5)</f>
        <v>104.91309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42950</v>
      </c>
      <c r="B52" s="23"/>
      <c r="C52" s="24">
        <f>ROUND(9.28,5)</f>
        <v>9.28</v>
      </c>
      <c r="D52" s="24">
        <f>F52</f>
        <v>9.29303</v>
      </c>
      <c r="E52" s="24">
        <f>F52</f>
        <v>9.29303</v>
      </c>
      <c r="F52" s="24">
        <f>ROUND(9.29303,5)</f>
        <v>9.29303</v>
      </c>
      <c r="G52" s="25"/>
      <c r="H52" s="26"/>
    </row>
    <row r="53" spans="1:8" ht="12.75" customHeight="1">
      <c r="A53" s="23">
        <v>43041</v>
      </c>
      <c r="B53" s="23"/>
      <c r="C53" s="24">
        <f>ROUND(9.28,5)</f>
        <v>9.28</v>
      </c>
      <c r="D53" s="24">
        <f>F53</f>
        <v>9.34208</v>
      </c>
      <c r="E53" s="24">
        <f>F53</f>
        <v>9.34208</v>
      </c>
      <c r="F53" s="24">
        <f>ROUND(9.34208,5)</f>
        <v>9.34208</v>
      </c>
      <c r="G53" s="25"/>
      <c r="H53" s="26"/>
    </row>
    <row r="54" spans="1:8" ht="12.75" customHeight="1">
      <c r="A54" s="23">
        <v>43132</v>
      </c>
      <c r="B54" s="23"/>
      <c r="C54" s="24">
        <f>ROUND(9.28,5)</f>
        <v>9.28</v>
      </c>
      <c r="D54" s="24">
        <f>F54</f>
        <v>9.39057</v>
      </c>
      <c r="E54" s="24">
        <f>F54</f>
        <v>9.39057</v>
      </c>
      <c r="F54" s="24">
        <f>ROUND(9.39057,5)</f>
        <v>9.39057</v>
      </c>
      <c r="G54" s="25"/>
      <c r="H54" s="26"/>
    </row>
    <row r="55" spans="1:8" ht="12.75" customHeight="1">
      <c r="A55" s="23">
        <v>43223</v>
      </c>
      <c r="B55" s="23"/>
      <c r="C55" s="24">
        <f>ROUND(9.28,5)</f>
        <v>9.28</v>
      </c>
      <c r="D55" s="24">
        <f>F55</f>
        <v>9.44355</v>
      </c>
      <c r="E55" s="24">
        <f>F55</f>
        <v>9.44355</v>
      </c>
      <c r="F55" s="24">
        <f>ROUND(9.44355,5)</f>
        <v>9.44355</v>
      </c>
      <c r="G55" s="25"/>
      <c r="H55" s="26"/>
    </row>
    <row r="56" spans="1:8" ht="12.75" customHeight="1">
      <c r="A56" s="23">
        <v>43314</v>
      </c>
      <c r="B56" s="23"/>
      <c r="C56" s="24">
        <f>ROUND(9.28,5)</f>
        <v>9.28</v>
      </c>
      <c r="D56" s="24">
        <f>F56</f>
        <v>9.50157</v>
      </c>
      <c r="E56" s="24">
        <f>F56</f>
        <v>9.50157</v>
      </c>
      <c r="F56" s="24">
        <f>ROUND(9.50157,5)</f>
        <v>9.50157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42950</v>
      </c>
      <c r="B58" s="23"/>
      <c r="C58" s="24">
        <f>ROUND(9.48,5)</f>
        <v>9.48</v>
      </c>
      <c r="D58" s="24">
        <f>F58</f>
        <v>9.49327</v>
      </c>
      <c r="E58" s="24">
        <f>F58</f>
        <v>9.49327</v>
      </c>
      <c r="F58" s="24">
        <f>ROUND(9.49327,5)</f>
        <v>9.49327</v>
      </c>
      <c r="G58" s="25"/>
      <c r="H58" s="26"/>
    </row>
    <row r="59" spans="1:8" ht="12.75" customHeight="1">
      <c r="A59" s="23">
        <v>43041</v>
      </c>
      <c r="B59" s="23"/>
      <c r="C59" s="24">
        <f>ROUND(9.48,5)</f>
        <v>9.48</v>
      </c>
      <c r="D59" s="24">
        <f>F59</f>
        <v>9.54802</v>
      </c>
      <c r="E59" s="24">
        <f>F59</f>
        <v>9.54802</v>
      </c>
      <c r="F59" s="24">
        <f>ROUND(9.54802,5)</f>
        <v>9.54802</v>
      </c>
      <c r="G59" s="25"/>
      <c r="H59" s="26"/>
    </row>
    <row r="60" spans="1:8" ht="12.75" customHeight="1">
      <c r="A60" s="23">
        <v>43132</v>
      </c>
      <c r="B60" s="23"/>
      <c r="C60" s="24">
        <f>ROUND(9.48,5)</f>
        <v>9.48</v>
      </c>
      <c r="D60" s="24">
        <f>F60</f>
        <v>9.60199</v>
      </c>
      <c r="E60" s="24">
        <f>F60</f>
        <v>9.60199</v>
      </c>
      <c r="F60" s="24">
        <f>ROUND(9.60199,5)</f>
        <v>9.60199</v>
      </c>
      <c r="G60" s="25"/>
      <c r="H60" s="26"/>
    </row>
    <row r="61" spans="1:8" ht="12.75" customHeight="1">
      <c r="A61" s="23">
        <v>43223</v>
      </c>
      <c r="B61" s="23"/>
      <c r="C61" s="24">
        <f>ROUND(9.48,5)</f>
        <v>9.48</v>
      </c>
      <c r="D61" s="24">
        <f>F61</f>
        <v>9.65604</v>
      </c>
      <c r="E61" s="24">
        <f>F61</f>
        <v>9.65604</v>
      </c>
      <c r="F61" s="24">
        <f>ROUND(9.65604,5)</f>
        <v>9.65604</v>
      </c>
      <c r="G61" s="25"/>
      <c r="H61" s="26"/>
    </row>
    <row r="62" spans="1:8" ht="12.75" customHeight="1">
      <c r="A62" s="23">
        <v>43314</v>
      </c>
      <c r="B62" s="23"/>
      <c r="C62" s="24">
        <f>ROUND(9.48,5)</f>
        <v>9.48</v>
      </c>
      <c r="D62" s="24">
        <f>F62</f>
        <v>9.71294</v>
      </c>
      <c r="E62" s="24">
        <f>F62</f>
        <v>9.71294</v>
      </c>
      <c r="F62" s="24">
        <f>ROUND(9.71294,5)</f>
        <v>9.71294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42950</v>
      </c>
      <c r="B64" s="23"/>
      <c r="C64" s="24">
        <f>ROUND(103.20629,5)</f>
        <v>103.20629</v>
      </c>
      <c r="D64" s="24">
        <f>F64</f>
        <v>103.6543</v>
      </c>
      <c r="E64" s="24">
        <f>F64</f>
        <v>103.6543</v>
      </c>
      <c r="F64" s="24">
        <f>ROUND(103.6543,5)</f>
        <v>103.6543</v>
      </c>
      <c r="G64" s="25"/>
      <c r="H64" s="26"/>
    </row>
    <row r="65" spans="1:8" ht="12.75" customHeight="1">
      <c r="A65" s="23">
        <v>43041</v>
      </c>
      <c r="B65" s="23"/>
      <c r="C65" s="24">
        <f>ROUND(103.20629,5)</f>
        <v>103.20629</v>
      </c>
      <c r="D65" s="24">
        <f>F65</f>
        <v>104.58077</v>
      </c>
      <c r="E65" s="24">
        <f>F65</f>
        <v>104.58077</v>
      </c>
      <c r="F65" s="24">
        <f>ROUND(104.58077,5)</f>
        <v>104.58077</v>
      </c>
      <c r="G65" s="25"/>
      <c r="H65" s="26"/>
    </row>
    <row r="66" spans="1:8" ht="12.75" customHeight="1">
      <c r="A66" s="23">
        <v>43132</v>
      </c>
      <c r="B66" s="23"/>
      <c r="C66" s="24">
        <f>ROUND(103.20629,5)</f>
        <v>103.20629</v>
      </c>
      <c r="D66" s="24">
        <f>F66</f>
        <v>106.64234</v>
      </c>
      <c r="E66" s="24">
        <f>F66</f>
        <v>106.64234</v>
      </c>
      <c r="F66" s="24">
        <f>ROUND(106.64234,5)</f>
        <v>106.64234</v>
      </c>
      <c r="G66" s="25"/>
      <c r="H66" s="26"/>
    </row>
    <row r="67" spans="1:8" ht="12.75" customHeight="1">
      <c r="A67" s="23">
        <v>43223</v>
      </c>
      <c r="B67" s="23"/>
      <c r="C67" s="24">
        <f>ROUND(103.20629,5)</f>
        <v>103.20629</v>
      </c>
      <c r="D67" s="24">
        <f>F67</f>
        <v>107.68769</v>
      </c>
      <c r="E67" s="24">
        <f>F67</f>
        <v>107.68769</v>
      </c>
      <c r="F67" s="24">
        <f>ROUND(107.68769,5)</f>
        <v>107.68769</v>
      </c>
      <c r="G67" s="25"/>
      <c r="H67" s="26"/>
    </row>
    <row r="68" spans="1:8" ht="12.75" customHeight="1">
      <c r="A68" s="23">
        <v>43314</v>
      </c>
      <c r="B68" s="23"/>
      <c r="C68" s="24">
        <f>ROUND(103.20629,5)</f>
        <v>103.20629</v>
      </c>
      <c r="D68" s="24">
        <f>F68</f>
        <v>109.80594</v>
      </c>
      <c r="E68" s="24">
        <f>F68</f>
        <v>109.80594</v>
      </c>
      <c r="F68" s="24">
        <f>ROUND(109.80594,5)</f>
        <v>109.80594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42950</v>
      </c>
      <c r="B70" s="23"/>
      <c r="C70" s="24">
        <f>ROUND(9.75,5)</f>
        <v>9.75</v>
      </c>
      <c r="D70" s="24">
        <f>F70</f>
        <v>9.76408</v>
      </c>
      <c r="E70" s="24">
        <f>F70</f>
        <v>9.76408</v>
      </c>
      <c r="F70" s="24">
        <f>ROUND(9.76408,5)</f>
        <v>9.76408</v>
      </c>
      <c r="G70" s="25"/>
      <c r="H70" s="26"/>
    </row>
    <row r="71" spans="1:8" ht="12.75" customHeight="1">
      <c r="A71" s="23">
        <v>43041</v>
      </c>
      <c r="B71" s="23"/>
      <c r="C71" s="24">
        <f>ROUND(9.75,5)</f>
        <v>9.75</v>
      </c>
      <c r="D71" s="24">
        <f>F71</f>
        <v>9.81847</v>
      </c>
      <c r="E71" s="24">
        <f>F71</f>
        <v>9.81847</v>
      </c>
      <c r="F71" s="24">
        <f>ROUND(9.81847,5)</f>
        <v>9.81847</v>
      </c>
      <c r="G71" s="25"/>
      <c r="H71" s="26"/>
    </row>
    <row r="72" spans="1:8" ht="12.75" customHeight="1">
      <c r="A72" s="23">
        <v>43132</v>
      </c>
      <c r="B72" s="23"/>
      <c r="C72" s="24">
        <f>ROUND(9.75,5)</f>
        <v>9.75</v>
      </c>
      <c r="D72" s="24">
        <f>F72</f>
        <v>9.87273</v>
      </c>
      <c r="E72" s="24">
        <f>F72</f>
        <v>9.87273</v>
      </c>
      <c r="F72" s="24">
        <f>ROUND(9.87273,5)</f>
        <v>9.87273</v>
      </c>
      <c r="G72" s="25"/>
      <c r="H72" s="26"/>
    </row>
    <row r="73" spans="1:8" ht="12.75" customHeight="1">
      <c r="A73" s="23">
        <v>43223</v>
      </c>
      <c r="B73" s="23"/>
      <c r="C73" s="24">
        <f>ROUND(9.75,5)</f>
        <v>9.75</v>
      </c>
      <c r="D73" s="24">
        <f>F73</f>
        <v>9.93064</v>
      </c>
      <c r="E73" s="24">
        <f>F73</f>
        <v>9.93064</v>
      </c>
      <c r="F73" s="24">
        <f>ROUND(9.93064,5)</f>
        <v>9.93064</v>
      </c>
      <c r="G73" s="25"/>
      <c r="H73" s="26"/>
    </row>
    <row r="74" spans="1:8" ht="12.75" customHeight="1">
      <c r="A74" s="23">
        <v>43314</v>
      </c>
      <c r="B74" s="23"/>
      <c r="C74" s="24">
        <f>ROUND(9.75,5)</f>
        <v>9.75</v>
      </c>
      <c r="D74" s="24">
        <f>F74</f>
        <v>9.99306</v>
      </c>
      <c r="E74" s="24">
        <f>F74</f>
        <v>9.99306</v>
      </c>
      <c r="F74" s="24">
        <f>ROUND(9.99306,5)</f>
        <v>9.99306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42950</v>
      </c>
      <c r="B76" s="23"/>
      <c r="C76" s="24">
        <f>ROUND(2.54,5)</f>
        <v>2.54</v>
      </c>
      <c r="D76" s="24">
        <f>F76</f>
        <v>126.20535</v>
      </c>
      <c r="E76" s="24">
        <f>F76</f>
        <v>126.20535</v>
      </c>
      <c r="F76" s="24">
        <f>ROUND(126.20535,5)</f>
        <v>126.20535</v>
      </c>
      <c r="G76" s="25"/>
      <c r="H76" s="26"/>
    </row>
    <row r="77" spans="1:8" ht="12.75" customHeight="1">
      <c r="A77" s="23">
        <v>43041</v>
      </c>
      <c r="B77" s="23"/>
      <c r="C77" s="24">
        <f>ROUND(2.54,5)</f>
        <v>2.54</v>
      </c>
      <c r="D77" s="24">
        <f>F77</f>
        <v>128.63923</v>
      </c>
      <c r="E77" s="24">
        <f>F77</f>
        <v>128.63923</v>
      </c>
      <c r="F77" s="24">
        <f>ROUND(128.63923,5)</f>
        <v>128.63923</v>
      </c>
      <c r="G77" s="25"/>
      <c r="H77" s="26"/>
    </row>
    <row r="78" spans="1:8" ht="12.75" customHeight="1">
      <c r="A78" s="23">
        <v>43132</v>
      </c>
      <c r="B78" s="23"/>
      <c r="C78" s="24">
        <f>ROUND(2.54,5)</f>
        <v>2.54</v>
      </c>
      <c r="D78" s="24">
        <f>F78</f>
        <v>129.65405</v>
      </c>
      <c r="E78" s="24">
        <f>F78</f>
        <v>129.65405</v>
      </c>
      <c r="F78" s="24">
        <f>ROUND(129.65405,5)</f>
        <v>129.65405</v>
      </c>
      <c r="G78" s="25"/>
      <c r="H78" s="26"/>
    </row>
    <row r="79" spans="1:8" ht="12.75" customHeight="1">
      <c r="A79" s="23">
        <v>43223</v>
      </c>
      <c r="B79" s="23"/>
      <c r="C79" s="24">
        <f>ROUND(2.54,5)</f>
        <v>2.54</v>
      </c>
      <c r="D79" s="24">
        <f>F79</f>
        <v>132.26135</v>
      </c>
      <c r="E79" s="24">
        <f>F79</f>
        <v>132.26135</v>
      </c>
      <c r="F79" s="24">
        <f>ROUND(132.26135,5)</f>
        <v>132.26135</v>
      </c>
      <c r="G79" s="25"/>
      <c r="H79" s="26"/>
    </row>
    <row r="80" spans="1:8" ht="12.75" customHeight="1">
      <c r="A80" s="23">
        <v>43314</v>
      </c>
      <c r="B80" s="23"/>
      <c r="C80" s="24">
        <f>ROUND(2.54,5)</f>
        <v>2.54</v>
      </c>
      <c r="D80" s="24">
        <f>F80</f>
        <v>134.86305</v>
      </c>
      <c r="E80" s="24">
        <f>F80</f>
        <v>134.86305</v>
      </c>
      <c r="F80" s="24">
        <f>ROUND(134.86305,5)</f>
        <v>134.86305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42950</v>
      </c>
      <c r="B82" s="23"/>
      <c r="C82" s="24">
        <f>ROUND(9.84,5)</f>
        <v>9.84</v>
      </c>
      <c r="D82" s="24">
        <f>F82</f>
        <v>9.85427</v>
      </c>
      <c r="E82" s="24">
        <f>F82</f>
        <v>9.85427</v>
      </c>
      <c r="F82" s="24">
        <f>ROUND(9.85427,5)</f>
        <v>9.85427</v>
      </c>
      <c r="G82" s="25"/>
      <c r="H82" s="26"/>
    </row>
    <row r="83" spans="1:8" ht="12.75" customHeight="1">
      <c r="A83" s="23">
        <v>43041</v>
      </c>
      <c r="B83" s="23"/>
      <c r="C83" s="24">
        <f>ROUND(9.84,5)</f>
        <v>9.84</v>
      </c>
      <c r="D83" s="24">
        <f>F83</f>
        <v>9.90956</v>
      </c>
      <c r="E83" s="24">
        <f>F83</f>
        <v>9.90956</v>
      </c>
      <c r="F83" s="24">
        <f>ROUND(9.90956,5)</f>
        <v>9.90956</v>
      </c>
      <c r="G83" s="25"/>
      <c r="H83" s="26"/>
    </row>
    <row r="84" spans="1:8" ht="12.75" customHeight="1">
      <c r="A84" s="23">
        <v>43132</v>
      </c>
      <c r="B84" s="23"/>
      <c r="C84" s="24">
        <f>ROUND(9.84,5)</f>
        <v>9.84</v>
      </c>
      <c r="D84" s="24">
        <f>F84</f>
        <v>9.96481</v>
      </c>
      <c r="E84" s="24">
        <f>F84</f>
        <v>9.96481</v>
      </c>
      <c r="F84" s="24">
        <f>ROUND(9.96481,5)</f>
        <v>9.96481</v>
      </c>
      <c r="G84" s="25"/>
      <c r="H84" s="26"/>
    </row>
    <row r="85" spans="1:8" ht="12.75" customHeight="1">
      <c r="A85" s="23">
        <v>43223</v>
      </c>
      <c r="B85" s="23"/>
      <c r="C85" s="24">
        <f>ROUND(9.84,5)</f>
        <v>9.84</v>
      </c>
      <c r="D85" s="24">
        <f>F85</f>
        <v>10.02356</v>
      </c>
      <c r="E85" s="24">
        <f>F85</f>
        <v>10.02356</v>
      </c>
      <c r="F85" s="24">
        <f>ROUND(10.02356,5)</f>
        <v>10.02356</v>
      </c>
      <c r="G85" s="25"/>
      <c r="H85" s="26"/>
    </row>
    <row r="86" spans="1:8" ht="12.75" customHeight="1">
      <c r="A86" s="23">
        <v>43314</v>
      </c>
      <c r="B86" s="23"/>
      <c r="C86" s="24">
        <f>ROUND(9.84,5)</f>
        <v>9.84</v>
      </c>
      <c r="D86" s="24">
        <f>F86</f>
        <v>10.08676</v>
      </c>
      <c r="E86" s="24">
        <f>F86</f>
        <v>10.08676</v>
      </c>
      <c r="F86" s="24">
        <f>ROUND(10.08676,5)</f>
        <v>10.08676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42950</v>
      </c>
      <c r="B88" s="23"/>
      <c r="C88" s="24">
        <f>ROUND(9.875,5)</f>
        <v>9.875</v>
      </c>
      <c r="D88" s="24">
        <f>F88</f>
        <v>9.88892</v>
      </c>
      <c r="E88" s="24">
        <f>F88</f>
        <v>9.88892</v>
      </c>
      <c r="F88" s="24">
        <f>ROUND(9.88892,5)</f>
        <v>9.88892</v>
      </c>
      <c r="G88" s="25"/>
      <c r="H88" s="26"/>
    </row>
    <row r="89" spans="1:8" ht="12.75" customHeight="1">
      <c r="A89" s="23">
        <v>43041</v>
      </c>
      <c r="B89" s="23"/>
      <c r="C89" s="24">
        <f>ROUND(9.875,5)</f>
        <v>9.875</v>
      </c>
      <c r="D89" s="24">
        <f>F89</f>
        <v>9.94289</v>
      </c>
      <c r="E89" s="24">
        <f>F89</f>
        <v>9.94289</v>
      </c>
      <c r="F89" s="24">
        <f>ROUND(9.94289,5)</f>
        <v>9.94289</v>
      </c>
      <c r="G89" s="25"/>
      <c r="H89" s="26"/>
    </row>
    <row r="90" spans="1:8" ht="12.75" customHeight="1">
      <c r="A90" s="23">
        <v>43132</v>
      </c>
      <c r="B90" s="23"/>
      <c r="C90" s="24">
        <f>ROUND(9.875,5)</f>
        <v>9.875</v>
      </c>
      <c r="D90" s="24">
        <f>F90</f>
        <v>9.99677</v>
      </c>
      <c r="E90" s="24">
        <f>F90</f>
        <v>9.99677</v>
      </c>
      <c r="F90" s="24">
        <f>ROUND(9.99677,5)</f>
        <v>9.99677</v>
      </c>
      <c r="G90" s="25"/>
      <c r="H90" s="26"/>
    </row>
    <row r="91" spans="1:8" ht="12.75" customHeight="1">
      <c r="A91" s="23">
        <v>43223</v>
      </c>
      <c r="B91" s="23"/>
      <c r="C91" s="24">
        <f>ROUND(9.875,5)</f>
        <v>9.875</v>
      </c>
      <c r="D91" s="24">
        <f>F91</f>
        <v>10.05393</v>
      </c>
      <c r="E91" s="24">
        <f>F91</f>
        <v>10.05393</v>
      </c>
      <c r="F91" s="24">
        <f>ROUND(10.05393,5)</f>
        <v>10.05393</v>
      </c>
      <c r="G91" s="25"/>
      <c r="H91" s="26"/>
    </row>
    <row r="92" spans="1:8" ht="12.75" customHeight="1">
      <c r="A92" s="23">
        <v>43314</v>
      </c>
      <c r="B92" s="23"/>
      <c r="C92" s="24">
        <f>ROUND(9.875,5)</f>
        <v>9.875</v>
      </c>
      <c r="D92" s="24">
        <f>F92</f>
        <v>10.11529</v>
      </c>
      <c r="E92" s="24">
        <f>F92</f>
        <v>10.11529</v>
      </c>
      <c r="F92" s="24">
        <f>ROUND(10.11529,5)</f>
        <v>10.11529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42950</v>
      </c>
      <c r="B94" s="23"/>
      <c r="C94" s="24">
        <f>ROUND(123.18882,5)</f>
        <v>123.18882</v>
      </c>
      <c r="D94" s="24">
        <f>F94</f>
        <v>123.72348</v>
      </c>
      <c r="E94" s="24">
        <f>F94</f>
        <v>123.72348</v>
      </c>
      <c r="F94" s="24">
        <f>ROUND(123.72348,5)</f>
        <v>123.72348</v>
      </c>
      <c r="G94" s="25"/>
      <c r="H94" s="26"/>
    </row>
    <row r="95" spans="1:8" ht="12.75" customHeight="1">
      <c r="A95" s="23">
        <v>43041</v>
      </c>
      <c r="B95" s="23"/>
      <c r="C95" s="24">
        <f>ROUND(123.18882,5)</f>
        <v>123.18882</v>
      </c>
      <c r="D95" s="24">
        <f>F95</f>
        <v>124.5264</v>
      </c>
      <c r="E95" s="24">
        <f>F95</f>
        <v>124.5264</v>
      </c>
      <c r="F95" s="24">
        <f>ROUND(124.5264,5)</f>
        <v>124.5264</v>
      </c>
      <c r="G95" s="25"/>
      <c r="H95" s="26"/>
    </row>
    <row r="96" spans="1:8" ht="12.75" customHeight="1">
      <c r="A96" s="23">
        <v>43132</v>
      </c>
      <c r="B96" s="23"/>
      <c r="C96" s="24">
        <f>ROUND(123.18882,5)</f>
        <v>123.18882</v>
      </c>
      <c r="D96" s="24">
        <f>F96</f>
        <v>126.98135</v>
      </c>
      <c r="E96" s="24">
        <f>F96</f>
        <v>126.98135</v>
      </c>
      <c r="F96" s="24">
        <f>ROUND(126.98135,5)</f>
        <v>126.98135</v>
      </c>
      <c r="G96" s="25"/>
      <c r="H96" s="26"/>
    </row>
    <row r="97" spans="1:8" ht="12.75" customHeight="1">
      <c r="A97" s="23">
        <v>43223</v>
      </c>
      <c r="B97" s="23"/>
      <c r="C97" s="24">
        <f>ROUND(123.18882,5)</f>
        <v>123.18882</v>
      </c>
      <c r="D97" s="24">
        <f>F97</f>
        <v>127.91901</v>
      </c>
      <c r="E97" s="24">
        <f>F97</f>
        <v>127.91901</v>
      </c>
      <c r="F97" s="24">
        <f>ROUND(127.91901,5)</f>
        <v>127.91901</v>
      </c>
      <c r="G97" s="25"/>
      <c r="H97" s="26"/>
    </row>
    <row r="98" spans="1:8" ht="12.75" customHeight="1">
      <c r="A98" s="23">
        <v>43314</v>
      </c>
      <c r="B98" s="23"/>
      <c r="C98" s="24">
        <f>ROUND(123.18882,5)</f>
        <v>123.18882</v>
      </c>
      <c r="D98" s="24">
        <f>F98</f>
        <v>130.43484</v>
      </c>
      <c r="E98" s="24">
        <f>F98</f>
        <v>130.43484</v>
      </c>
      <c r="F98" s="24">
        <f>ROUND(130.43484,5)</f>
        <v>130.43484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42950</v>
      </c>
      <c r="B100" s="23"/>
      <c r="C100" s="24">
        <f>ROUND(2.6,5)</f>
        <v>2.6</v>
      </c>
      <c r="D100" s="24">
        <f>F100</f>
        <v>129.52011</v>
      </c>
      <c r="E100" s="24">
        <f>F100</f>
        <v>129.52011</v>
      </c>
      <c r="F100" s="24">
        <f>ROUND(129.52011,5)</f>
        <v>129.52011</v>
      </c>
      <c r="G100" s="25"/>
      <c r="H100" s="26"/>
    </row>
    <row r="101" spans="1:8" ht="12.75" customHeight="1">
      <c r="A101" s="23">
        <v>43041</v>
      </c>
      <c r="B101" s="23"/>
      <c r="C101" s="24">
        <f>ROUND(2.6,5)</f>
        <v>2.6</v>
      </c>
      <c r="D101" s="24">
        <f>F101</f>
        <v>132.01775</v>
      </c>
      <c r="E101" s="24">
        <f>F101</f>
        <v>132.01775</v>
      </c>
      <c r="F101" s="24">
        <f>ROUND(132.01775,5)</f>
        <v>132.01775</v>
      </c>
      <c r="G101" s="25"/>
      <c r="H101" s="26"/>
    </row>
    <row r="102" spans="1:8" ht="12.75" customHeight="1">
      <c r="A102" s="23">
        <v>43132</v>
      </c>
      <c r="B102" s="23"/>
      <c r="C102" s="24">
        <f>ROUND(2.6,5)</f>
        <v>2.6</v>
      </c>
      <c r="D102" s="24">
        <f>F102</f>
        <v>132.92857</v>
      </c>
      <c r="E102" s="24">
        <f>F102</f>
        <v>132.92857</v>
      </c>
      <c r="F102" s="24">
        <f>ROUND(132.92857,5)</f>
        <v>132.92857</v>
      </c>
      <c r="G102" s="25"/>
      <c r="H102" s="26"/>
    </row>
    <row r="103" spans="1:8" ht="12.75" customHeight="1">
      <c r="A103" s="23">
        <v>43223</v>
      </c>
      <c r="B103" s="23"/>
      <c r="C103" s="24">
        <f>ROUND(2.6,5)</f>
        <v>2.6</v>
      </c>
      <c r="D103" s="24">
        <f>F103</f>
        <v>135.6017</v>
      </c>
      <c r="E103" s="24">
        <f>F103</f>
        <v>135.6017</v>
      </c>
      <c r="F103" s="24">
        <f>ROUND(135.6017,5)</f>
        <v>135.6017</v>
      </c>
      <c r="G103" s="25"/>
      <c r="H103" s="26"/>
    </row>
    <row r="104" spans="1:8" ht="12.75" customHeight="1">
      <c r="A104" s="23">
        <v>43314</v>
      </c>
      <c r="B104" s="23"/>
      <c r="C104" s="24">
        <f>ROUND(2.6,5)</f>
        <v>2.6</v>
      </c>
      <c r="D104" s="24">
        <f>F104</f>
        <v>138.26921</v>
      </c>
      <c r="E104" s="24">
        <f>F104</f>
        <v>138.26921</v>
      </c>
      <c r="F104" s="24">
        <f>ROUND(138.26921,5)</f>
        <v>138.26921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42950</v>
      </c>
      <c r="B106" s="23"/>
      <c r="C106" s="24">
        <f>ROUND(3.21,5)</f>
        <v>3.21</v>
      </c>
      <c r="D106" s="24">
        <f>F106</f>
        <v>127.31325</v>
      </c>
      <c r="E106" s="24">
        <f>F106</f>
        <v>127.31325</v>
      </c>
      <c r="F106" s="24">
        <f>ROUND(127.31325,5)</f>
        <v>127.31325</v>
      </c>
      <c r="G106" s="25"/>
      <c r="H106" s="26"/>
    </row>
    <row r="107" spans="1:8" ht="12.75" customHeight="1">
      <c r="A107" s="23">
        <v>43041</v>
      </c>
      <c r="B107" s="23"/>
      <c r="C107" s="24">
        <f>ROUND(3.21,5)</f>
        <v>3.21</v>
      </c>
      <c r="D107" s="24">
        <f>F107</f>
        <v>128.02461</v>
      </c>
      <c r="E107" s="24">
        <f>F107</f>
        <v>128.02461</v>
      </c>
      <c r="F107" s="24">
        <f>ROUND(128.02461,5)</f>
        <v>128.02461</v>
      </c>
      <c r="G107" s="25"/>
      <c r="H107" s="26"/>
    </row>
    <row r="108" spans="1:8" ht="12.75" customHeight="1">
      <c r="A108" s="23">
        <v>43132</v>
      </c>
      <c r="B108" s="23"/>
      <c r="C108" s="24">
        <f>ROUND(3.21,5)</f>
        <v>3.21</v>
      </c>
      <c r="D108" s="24">
        <f>F108</f>
        <v>130.54855</v>
      </c>
      <c r="E108" s="24">
        <f>F108</f>
        <v>130.54855</v>
      </c>
      <c r="F108" s="24">
        <f>ROUND(130.54855,5)</f>
        <v>130.54855</v>
      </c>
      <c r="G108" s="25"/>
      <c r="H108" s="26"/>
    </row>
    <row r="109" spans="1:8" ht="12.75" customHeight="1">
      <c r="A109" s="23">
        <v>43223</v>
      </c>
      <c r="B109" s="23"/>
      <c r="C109" s="24">
        <f>ROUND(3.21,5)</f>
        <v>3.21</v>
      </c>
      <c r="D109" s="24">
        <f>F109</f>
        <v>133.17375</v>
      </c>
      <c r="E109" s="24">
        <f>F109</f>
        <v>133.17375</v>
      </c>
      <c r="F109" s="24">
        <f>ROUND(133.17375,5)</f>
        <v>133.17375</v>
      </c>
      <c r="G109" s="25"/>
      <c r="H109" s="26"/>
    </row>
    <row r="110" spans="1:8" ht="12.75" customHeight="1">
      <c r="A110" s="23">
        <v>43314</v>
      </c>
      <c r="B110" s="23"/>
      <c r="C110" s="24">
        <f>ROUND(3.21,5)</f>
        <v>3.21</v>
      </c>
      <c r="D110" s="24">
        <f>F110</f>
        <v>135.79368</v>
      </c>
      <c r="E110" s="24">
        <f>F110</f>
        <v>135.79368</v>
      </c>
      <c r="F110" s="24">
        <f>ROUND(135.79368,5)</f>
        <v>135.79368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42950</v>
      </c>
      <c r="B112" s="23"/>
      <c r="C112" s="24">
        <f>ROUND(10.84,5)</f>
        <v>10.84</v>
      </c>
      <c r="D112" s="24">
        <f>F112</f>
        <v>10.86236</v>
      </c>
      <c r="E112" s="24">
        <f>F112</f>
        <v>10.86236</v>
      </c>
      <c r="F112" s="24">
        <f>ROUND(10.86236,5)</f>
        <v>10.86236</v>
      </c>
      <c r="G112" s="25"/>
      <c r="H112" s="26"/>
    </row>
    <row r="113" spans="1:8" ht="12.75" customHeight="1">
      <c r="A113" s="23">
        <v>43041</v>
      </c>
      <c r="B113" s="23"/>
      <c r="C113" s="24">
        <f>ROUND(10.84,5)</f>
        <v>10.84</v>
      </c>
      <c r="D113" s="24">
        <f>F113</f>
        <v>10.95892</v>
      </c>
      <c r="E113" s="24">
        <f>F113</f>
        <v>10.95892</v>
      </c>
      <c r="F113" s="24">
        <f>ROUND(10.95892,5)</f>
        <v>10.95892</v>
      </c>
      <c r="G113" s="25"/>
      <c r="H113" s="26"/>
    </row>
    <row r="114" spans="1:8" ht="12.75" customHeight="1">
      <c r="A114" s="23">
        <v>43132</v>
      </c>
      <c r="B114" s="23"/>
      <c r="C114" s="24">
        <f>ROUND(10.84,5)</f>
        <v>10.84</v>
      </c>
      <c r="D114" s="24">
        <f>F114</f>
        <v>11.05844</v>
      </c>
      <c r="E114" s="24">
        <f>F114</f>
        <v>11.05844</v>
      </c>
      <c r="F114" s="24">
        <f>ROUND(11.05844,5)</f>
        <v>11.05844</v>
      </c>
      <c r="G114" s="25"/>
      <c r="H114" s="26"/>
    </row>
    <row r="115" spans="1:8" ht="12.75" customHeight="1">
      <c r="A115" s="23">
        <v>43223</v>
      </c>
      <c r="B115" s="23"/>
      <c r="C115" s="24">
        <f>ROUND(10.84,5)</f>
        <v>10.84</v>
      </c>
      <c r="D115" s="24">
        <f>F115</f>
        <v>11.15659</v>
      </c>
      <c r="E115" s="24">
        <f>F115</f>
        <v>11.15659</v>
      </c>
      <c r="F115" s="24">
        <f>ROUND(11.15659,5)</f>
        <v>11.15659</v>
      </c>
      <c r="G115" s="25"/>
      <c r="H115" s="26"/>
    </row>
    <row r="116" spans="1:8" ht="12.75" customHeight="1">
      <c r="A116" s="23">
        <v>43314</v>
      </c>
      <c r="B116" s="23"/>
      <c r="C116" s="24">
        <f>ROUND(10.84,5)</f>
        <v>10.84</v>
      </c>
      <c r="D116" s="24">
        <f>F116</f>
        <v>11.25849</v>
      </c>
      <c r="E116" s="24">
        <f>F116</f>
        <v>11.25849</v>
      </c>
      <c r="F116" s="24">
        <f>ROUND(11.25849,5)</f>
        <v>11.25849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42950</v>
      </c>
      <c r="B118" s="23"/>
      <c r="C118" s="24">
        <f>ROUND(11.025,5)</f>
        <v>11.025</v>
      </c>
      <c r="D118" s="24">
        <f>F118</f>
        <v>11.04718</v>
      </c>
      <c r="E118" s="24">
        <f>F118</f>
        <v>11.04718</v>
      </c>
      <c r="F118" s="24">
        <f>ROUND(11.04718,5)</f>
        <v>11.04718</v>
      </c>
      <c r="G118" s="25"/>
      <c r="H118" s="26"/>
    </row>
    <row r="119" spans="1:8" ht="12.75" customHeight="1">
      <c r="A119" s="23">
        <v>43041</v>
      </c>
      <c r="B119" s="23"/>
      <c r="C119" s="24">
        <f>ROUND(11.025,5)</f>
        <v>11.025</v>
      </c>
      <c r="D119" s="24">
        <f>F119</f>
        <v>11.14224</v>
      </c>
      <c r="E119" s="24">
        <f>F119</f>
        <v>11.14224</v>
      </c>
      <c r="F119" s="24">
        <f>ROUND(11.14224,5)</f>
        <v>11.14224</v>
      </c>
      <c r="G119" s="25"/>
      <c r="H119" s="26"/>
    </row>
    <row r="120" spans="1:8" ht="12.75" customHeight="1">
      <c r="A120" s="23">
        <v>43132</v>
      </c>
      <c r="B120" s="23"/>
      <c r="C120" s="24">
        <f>ROUND(11.025,5)</f>
        <v>11.025</v>
      </c>
      <c r="D120" s="24">
        <f>F120</f>
        <v>11.23693</v>
      </c>
      <c r="E120" s="24">
        <f>F120</f>
        <v>11.23693</v>
      </c>
      <c r="F120" s="24">
        <f>ROUND(11.23693,5)</f>
        <v>11.23693</v>
      </c>
      <c r="G120" s="25"/>
      <c r="H120" s="26"/>
    </row>
    <row r="121" spans="1:8" ht="12.75" customHeight="1">
      <c r="A121" s="23">
        <v>43223</v>
      </c>
      <c r="B121" s="23"/>
      <c r="C121" s="24">
        <f>ROUND(11.025,5)</f>
        <v>11.025</v>
      </c>
      <c r="D121" s="24">
        <f>F121</f>
        <v>11.33516</v>
      </c>
      <c r="E121" s="24">
        <f>F121</f>
        <v>11.33516</v>
      </c>
      <c r="F121" s="24">
        <f>ROUND(11.33516,5)</f>
        <v>11.33516</v>
      </c>
      <c r="G121" s="25"/>
      <c r="H121" s="26"/>
    </row>
    <row r="122" spans="1:8" ht="12.75" customHeight="1">
      <c r="A122" s="23">
        <v>43314</v>
      </c>
      <c r="B122" s="23"/>
      <c r="C122" s="24">
        <f>ROUND(11.025,5)</f>
        <v>11.025</v>
      </c>
      <c r="D122" s="24">
        <f>F122</f>
        <v>11.43523</v>
      </c>
      <c r="E122" s="24">
        <f>F122</f>
        <v>11.43523</v>
      </c>
      <c r="F122" s="24">
        <f>ROUND(11.43523,5)</f>
        <v>11.43523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42950</v>
      </c>
      <c r="B124" s="23"/>
      <c r="C124" s="24">
        <f>ROUND(8.165,5)</f>
        <v>8.165</v>
      </c>
      <c r="D124" s="24">
        <f>F124</f>
        <v>8.17174</v>
      </c>
      <c r="E124" s="24">
        <f>F124</f>
        <v>8.17174</v>
      </c>
      <c r="F124" s="24">
        <f>ROUND(8.17174,5)</f>
        <v>8.17174</v>
      </c>
      <c r="G124" s="25"/>
      <c r="H124" s="26"/>
    </row>
    <row r="125" spans="1:8" ht="12.75" customHeight="1">
      <c r="A125" s="23">
        <v>43041</v>
      </c>
      <c r="B125" s="23"/>
      <c r="C125" s="24">
        <f>ROUND(8.165,5)</f>
        <v>8.165</v>
      </c>
      <c r="D125" s="24">
        <f>F125</f>
        <v>8.19943</v>
      </c>
      <c r="E125" s="24">
        <f>F125</f>
        <v>8.19943</v>
      </c>
      <c r="F125" s="24">
        <f>ROUND(8.19943,5)</f>
        <v>8.19943</v>
      </c>
      <c r="G125" s="25"/>
      <c r="H125" s="26"/>
    </row>
    <row r="126" spans="1:8" ht="12.75" customHeight="1">
      <c r="A126" s="23">
        <v>43132</v>
      </c>
      <c r="B126" s="23"/>
      <c r="C126" s="24">
        <f>ROUND(8.165,5)</f>
        <v>8.165</v>
      </c>
      <c r="D126" s="24">
        <f>F126</f>
        <v>8.22498</v>
      </c>
      <c r="E126" s="24">
        <f>F126</f>
        <v>8.22498</v>
      </c>
      <c r="F126" s="24">
        <f>ROUND(8.22498,5)</f>
        <v>8.22498</v>
      </c>
      <c r="G126" s="25"/>
      <c r="H126" s="26"/>
    </row>
    <row r="127" spans="1:8" ht="12.75" customHeight="1">
      <c r="A127" s="23">
        <v>43223</v>
      </c>
      <c r="B127" s="23"/>
      <c r="C127" s="24">
        <f>ROUND(8.165,5)</f>
        <v>8.165</v>
      </c>
      <c r="D127" s="24">
        <f>F127</f>
        <v>8.24316</v>
      </c>
      <c r="E127" s="24">
        <f>F127</f>
        <v>8.24316</v>
      </c>
      <c r="F127" s="24">
        <f>ROUND(8.24316,5)</f>
        <v>8.24316</v>
      </c>
      <c r="G127" s="25"/>
      <c r="H127" s="26"/>
    </row>
    <row r="128" spans="1:8" ht="12.75" customHeight="1">
      <c r="A128" s="23">
        <v>43314</v>
      </c>
      <c r="B128" s="23"/>
      <c r="C128" s="24">
        <f>ROUND(8.165,5)</f>
        <v>8.165</v>
      </c>
      <c r="D128" s="24">
        <f>F128</f>
        <v>8.26472</v>
      </c>
      <c r="E128" s="24">
        <f>F128</f>
        <v>8.26472</v>
      </c>
      <c r="F128" s="24">
        <f>ROUND(8.26472,5)</f>
        <v>8.26472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42950</v>
      </c>
      <c r="B130" s="23"/>
      <c r="C130" s="24">
        <f>ROUND(9.66,5)</f>
        <v>9.66</v>
      </c>
      <c r="D130" s="24">
        <f>F130</f>
        <v>9.67352</v>
      </c>
      <c r="E130" s="24">
        <f>F130</f>
        <v>9.67352</v>
      </c>
      <c r="F130" s="24">
        <f>ROUND(9.67352,5)</f>
        <v>9.67352</v>
      </c>
      <c r="G130" s="25"/>
      <c r="H130" s="26"/>
    </row>
    <row r="131" spans="1:8" ht="12.75" customHeight="1">
      <c r="A131" s="23">
        <v>43041</v>
      </c>
      <c r="B131" s="23"/>
      <c r="C131" s="24">
        <f>ROUND(9.66,5)</f>
        <v>9.66</v>
      </c>
      <c r="D131" s="24">
        <f>F131</f>
        <v>9.7314</v>
      </c>
      <c r="E131" s="24">
        <f>F131</f>
        <v>9.7314</v>
      </c>
      <c r="F131" s="24">
        <f>ROUND(9.7314,5)</f>
        <v>9.7314</v>
      </c>
      <c r="G131" s="25"/>
      <c r="H131" s="26"/>
    </row>
    <row r="132" spans="1:8" ht="12.75" customHeight="1">
      <c r="A132" s="23">
        <v>43132</v>
      </c>
      <c r="B132" s="23"/>
      <c r="C132" s="24">
        <f>ROUND(9.66,5)</f>
        <v>9.66</v>
      </c>
      <c r="D132" s="24">
        <f>F132</f>
        <v>9.7898</v>
      </c>
      <c r="E132" s="24">
        <f>F132</f>
        <v>9.7898</v>
      </c>
      <c r="F132" s="24">
        <f>ROUND(9.7898,5)</f>
        <v>9.7898</v>
      </c>
      <c r="G132" s="25"/>
      <c r="H132" s="26"/>
    </row>
    <row r="133" spans="1:8" ht="12.75" customHeight="1">
      <c r="A133" s="23">
        <v>43223</v>
      </c>
      <c r="B133" s="23"/>
      <c r="C133" s="24">
        <f>ROUND(9.66,5)</f>
        <v>9.66</v>
      </c>
      <c r="D133" s="24">
        <f>F133</f>
        <v>9.84449</v>
      </c>
      <c r="E133" s="24">
        <f>F133</f>
        <v>9.84449</v>
      </c>
      <c r="F133" s="24">
        <f>ROUND(9.84449,5)</f>
        <v>9.84449</v>
      </c>
      <c r="G133" s="25"/>
      <c r="H133" s="26"/>
    </row>
    <row r="134" spans="1:8" ht="12.75" customHeight="1">
      <c r="A134" s="23">
        <v>43314</v>
      </c>
      <c r="B134" s="23"/>
      <c r="C134" s="24">
        <f>ROUND(9.66,5)</f>
        <v>9.66</v>
      </c>
      <c r="D134" s="24">
        <f>F134</f>
        <v>9.90232</v>
      </c>
      <c r="E134" s="24">
        <f>F134</f>
        <v>9.90232</v>
      </c>
      <c r="F134" s="24">
        <f>ROUND(9.90232,5)</f>
        <v>9.90232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42950</v>
      </c>
      <c r="B136" s="23"/>
      <c r="C136" s="24">
        <f>ROUND(8.75,5)</f>
        <v>8.75</v>
      </c>
      <c r="D136" s="24">
        <f>F136</f>
        <v>8.76056</v>
      </c>
      <c r="E136" s="24">
        <f>F136</f>
        <v>8.76056</v>
      </c>
      <c r="F136" s="24">
        <f>ROUND(8.76056,5)</f>
        <v>8.76056</v>
      </c>
      <c r="G136" s="25"/>
      <c r="H136" s="26"/>
    </row>
    <row r="137" spans="1:8" ht="12.75" customHeight="1">
      <c r="A137" s="23">
        <v>43041</v>
      </c>
      <c r="B137" s="23"/>
      <c r="C137" s="24">
        <f>ROUND(8.75,5)</f>
        <v>8.75</v>
      </c>
      <c r="D137" s="24">
        <f>F137</f>
        <v>8.80252</v>
      </c>
      <c r="E137" s="24">
        <f>F137</f>
        <v>8.80252</v>
      </c>
      <c r="F137" s="24">
        <f>ROUND(8.80252,5)</f>
        <v>8.80252</v>
      </c>
      <c r="G137" s="25"/>
      <c r="H137" s="26"/>
    </row>
    <row r="138" spans="1:8" ht="12.75" customHeight="1">
      <c r="A138" s="23">
        <v>43132</v>
      </c>
      <c r="B138" s="23"/>
      <c r="C138" s="24">
        <f>ROUND(8.75,5)</f>
        <v>8.75</v>
      </c>
      <c r="D138" s="24">
        <f>F138</f>
        <v>8.84296</v>
      </c>
      <c r="E138" s="24">
        <f>F138</f>
        <v>8.84296</v>
      </c>
      <c r="F138" s="24">
        <f>ROUND(8.84296,5)</f>
        <v>8.84296</v>
      </c>
      <c r="G138" s="25"/>
      <c r="H138" s="26"/>
    </row>
    <row r="139" spans="1:8" ht="12.75" customHeight="1">
      <c r="A139" s="23">
        <v>43223</v>
      </c>
      <c r="B139" s="23"/>
      <c r="C139" s="24">
        <f>ROUND(8.75,5)</f>
        <v>8.75</v>
      </c>
      <c r="D139" s="24">
        <f>F139</f>
        <v>8.88463</v>
      </c>
      <c r="E139" s="24">
        <f>F139</f>
        <v>8.88463</v>
      </c>
      <c r="F139" s="24">
        <f>ROUND(8.88463,5)</f>
        <v>8.88463</v>
      </c>
      <c r="G139" s="25"/>
      <c r="H139" s="26"/>
    </row>
    <row r="140" spans="1:8" ht="12.75" customHeight="1">
      <c r="A140" s="23">
        <v>43314</v>
      </c>
      <c r="B140" s="23"/>
      <c r="C140" s="24">
        <f>ROUND(8.75,5)</f>
        <v>8.75</v>
      </c>
      <c r="D140" s="24">
        <f>F140</f>
        <v>8.93038</v>
      </c>
      <c r="E140" s="24">
        <f>F140</f>
        <v>8.93038</v>
      </c>
      <c r="F140" s="24">
        <f>ROUND(8.93038,5)</f>
        <v>8.93038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42950</v>
      </c>
      <c r="B142" s="23"/>
      <c r="C142" s="24">
        <f>ROUND(2.59,5)</f>
        <v>2.59</v>
      </c>
      <c r="D142" s="24">
        <f>F142</f>
        <v>293.73399</v>
      </c>
      <c r="E142" s="24">
        <f>F142</f>
        <v>293.73399</v>
      </c>
      <c r="F142" s="24">
        <f>ROUND(293.73399,5)</f>
        <v>293.73399</v>
      </c>
      <c r="G142" s="25"/>
      <c r="H142" s="26"/>
    </row>
    <row r="143" spans="1:8" ht="12.75" customHeight="1">
      <c r="A143" s="23">
        <v>43041</v>
      </c>
      <c r="B143" s="23"/>
      <c r="C143" s="24">
        <f>ROUND(2.59,5)</f>
        <v>2.59</v>
      </c>
      <c r="D143" s="24">
        <f>F143</f>
        <v>299.39845</v>
      </c>
      <c r="E143" s="24">
        <f>F143</f>
        <v>299.39845</v>
      </c>
      <c r="F143" s="24">
        <f>ROUND(299.39845,5)</f>
        <v>299.39845</v>
      </c>
      <c r="G143" s="25"/>
      <c r="H143" s="26"/>
    </row>
    <row r="144" spans="1:8" ht="12.75" customHeight="1">
      <c r="A144" s="23">
        <v>43132</v>
      </c>
      <c r="B144" s="23"/>
      <c r="C144" s="24">
        <f>ROUND(2.59,5)</f>
        <v>2.59</v>
      </c>
      <c r="D144" s="24">
        <f>F144</f>
        <v>298.24775</v>
      </c>
      <c r="E144" s="24">
        <f>F144</f>
        <v>298.24775</v>
      </c>
      <c r="F144" s="24">
        <f>ROUND(298.24775,5)</f>
        <v>298.24775</v>
      </c>
      <c r="G144" s="25"/>
      <c r="H144" s="26"/>
    </row>
    <row r="145" spans="1:8" ht="12.75" customHeight="1">
      <c r="A145" s="23">
        <v>43223</v>
      </c>
      <c r="B145" s="23"/>
      <c r="C145" s="24">
        <f>ROUND(2.59,5)</f>
        <v>2.59</v>
      </c>
      <c r="D145" s="24">
        <f>F145</f>
        <v>304.24543</v>
      </c>
      <c r="E145" s="24">
        <f>F145</f>
        <v>304.24543</v>
      </c>
      <c r="F145" s="24">
        <f>ROUND(304.24543,5)</f>
        <v>304.24543</v>
      </c>
      <c r="G145" s="25"/>
      <c r="H145" s="26"/>
    </row>
    <row r="146" spans="1:8" ht="12.75" customHeight="1">
      <c r="A146" s="23">
        <v>43314</v>
      </c>
      <c r="B146" s="23"/>
      <c r="C146" s="24">
        <f>ROUND(2.59,5)</f>
        <v>2.59</v>
      </c>
      <c r="D146" s="24">
        <f>F146</f>
        <v>310.22969</v>
      </c>
      <c r="E146" s="24">
        <f>F146</f>
        <v>310.22969</v>
      </c>
      <c r="F146" s="24">
        <f>ROUND(310.22969,5)</f>
        <v>310.22969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42950</v>
      </c>
      <c r="B148" s="23"/>
      <c r="C148" s="24">
        <f>ROUND(2.57,5)</f>
        <v>2.57</v>
      </c>
      <c r="D148" s="24">
        <f>F148</f>
        <v>236.98692</v>
      </c>
      <c r="E148" s="24">
        <f>F148</f>
        <v>236.98692</v>
      </c>
      <c r="F148" s="24">
        <f>ROUND(236.98692,5)</f>
        <v>236.98692</v>
      </c>
      <c r="G148" s="25"/>
      <c r="H148" s="26"/>
    </row>
    <row r="149" spans="1:8" ht="12.75" customHeight="1">
      <c r="A149" s="23">
        <v>43041</v>
      </c>
      <c r="B149" s="23"/>
      <c r="C149" s="24">
        <f>ROUND(2.57,5)</f>
        <v>2.57</v>
      </c>
      <c r="D149" s="24">
        <f>F149</f>
        <v>241.55725</v>
      </c>
      <c r="E149" s="24">
        <f>F149</f>
        <v>241.55725</v>
      </c>
      <c r="F149" s="24">
        <f>ROUND(241.55725,5)</f>
        <v>241.55725</v>
      </c>
      <c r="G149" s="25"/>
      <c r="H149" s="26"/>
    </row>
    <row r="150" spans="1:8" ht="12.75" customHeight="1">
      <c r="A150" s="23">
        <v>43132</v>
      </c>
      <c r="B150" s="23"/>
      <c r="C150" s="24">
        <f>ROUND(2.57,5)</f>
        <v>2.57</v>
      </c>
      <c r="D150" s="24">
        <f>F150</f>
        <v>242.5731</v>
      </c>
      <c r="E150" s="24">
        <f>F150</f>
        <v>242.5731</v>
      </c>
      <c r="F150" s="24">
        <f>ROUND(242.5731,5)</f>
        <v>242.5731</v>
      </c>
      <c r="G150" s="25"/>
      <c r="H150" s="26"/>
    </row>
    <row r="151" spans="1:8" ht="12.75" customHeight="1">
      <c r="A151" s="23">
        <v>43223</v>
      </c>
      <c r="B151" s="23"/>
      <c r="C151" s="24">
        <f>ROUND(2.57,5)</f>
        <v>2.57</v>
      </c>
      <c r="D151" s="24">
        <f>F151</f>
        <v>247.45104</v>
      </c>
      <c r="E151" s="24">
        <f>F151</f>
        <v>247.45104</v>
      </c>
      <c r="F151" s="24">
        <f>ROUND(247.45104,5)</f>
        <v>247.45104</v>
      </c>
      <c r="G151" s="25"/>
      <c r="H151" s="26"/>
    </row>
    <row r="152" spans="1:8" ht="12.75" customHeight="1">
      <c r="A152" s="23">
        <v>43314</v>
      </c>
      <c r="B152" s="23"/>
      <c r="C152" s="24">
        <f>ROUND(2.57,5)</f>
        <v>2.57</v>
      </c>
      <c r="D152" s="24">
        <f>F152</f>
        <v>252.31877</v>
      </c>
      <c r="E152" s="24">
        <f>F152</f>
        <v>252.31877</v>
      </c>
      <c r="F152" s="24">
        <f>ROUND(252.31877,5)</f>
        <v>252.31877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42950</v>
      </c>
      <c r="B154" s="23"/>
      <c r="C154" s="24">
        <f>ROUND(7.42,5)</f>
        <v>7.42</v>
      </c>
      <c r="D154" s="24">
        <f>F154</f>
        <v>7.37094</v>
      </c>
      <c r="E154" s="24">
        <f>F154</f>
        <v>7.37094</v>
      </c>
      <c r="F154" s="24">
        <f>ROUND(7.37094,5)</f>
        <v>7.37094</v>
      </c>
      <c r="G154" s="25"/>
      <c r="H154" s="26"/>
    </row>
    <row r="155" spans="1:8" ht="12.75" customHeight="1">
      <c r="A155" s="23">
        <v>43041</v>
      </c>
      <c r="B155" s="23"/>
      <c r="C155" s="24">
        <f>ROUND(7.42,5)</f>
        <v>7.42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49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42950</v>
      </c>
      <c r="B157" s="23"/>
      <c r="C157" s="24">
        <f>ROUND(7.475,5)</f>
        <v>7.475</v>
      </c>
      <c r="D157" s="24">
        <f>F157</f>
        <v>7.46968</v>
      </c>
      <c r="E157" s="24">
        <f>F157</f>
        <v>7.46968</v>
      </c>
      <c r="F157" s="24">
        <f>ROUND(7.46968,5)</f>
        <v>7.46968</v>
      </c>
      <c r="G157" s="25"/>
      <c r="H157" s="26"/>
    </row>
    <row r="158" spans="1:8" ht="12.75" customHeight="1">
      <c r="A158" s="23">
        <v>43041</v>
      </c>
      <c r="B158" s="23"/>
      <c r="C158" s="24">
        <f>ROUND(7.475,5)</f>
        <v>7.475</v>
      </c>
      <c r="D158" s="24">
        <f>F158</f>
        <v>7.40522</v>
      </c>
      <c r="E158" s="24">
        <f>F158</f>
        <v>7.40522</v>
      </c>
      <c r="F158" s="24">
        <f>ROUND(7.40522,5)</f>
        <v>7.40522</v>
      </c>
      <c r="G158" s="25"/>
      <c r="H158" s="26"/>
    </row>
    <row r="159" spans="1:8" ht="12.75" customHeight="1">
      <c r="A159" s="23">
        <v>43132</v>
      </c>
      <c r="B159" s="23"/>
      <c r="C159" s="24">
        <f>ROUND(7.475,5)</f>
        <v>7.475</v>
      </c>
      <c r="D159" s="24">
        <f>F159</f>
        <v>7.27433</v>
      </c>
      <c r="E159" s="24">
        <f>F159</f>
        <v>7.27433</v>
      </c>
      <c r="F159" s="24">
        <f>ROUND(7.27433,5)</f>
        <v>7.27433</v>
      </c>
      <c r="G159" s="25"/>
      <c r="H159" s="26"/>
    </row>
    <row r="160" spans="1:8" ht="12.75" customHeight="1">
      <c r="A160" s="23">
        <v>43223</v>
      </c>
      <c r="B160" s="23"/>
      <c r="C160" s="24">
        <f>ROUND(7.475,5)</f>
        <v>7.475</v>
      </c>
      <c r="D160" s="24">
        <f>F160</f>
        <v>7.02391</v>
      </c>
      <c r="E160" s="24">
        <f>F160</f>
        <v>7.02391</v>
      </c>
      <c r="F160" s="24">
        <f>ROUND(7.02391,5)</f>
        <v>7.02391</v>
      </c>
      <c r="G160" s="25"/>
      <c r="H160" s="26"/>
    </row>
    <row r="161" spans="1:8" ht="12.75" customHeight="1">
      <c r="A161" s="23">
        <v>43314</v>
      </c>
      <c r="B161" s="23"/>
      <c r="C161" s="24">
        <f>ROUND(7.475,5)</f>
        <v>7.475</v>
      </c>
      <c r="D161" s="24">
        <f>F161</f>
        <v>6.4202</v>
      </c>
      <c r="E161" s="24">
        <f>F161</f>
        <v>6.4202</v>
      </c>
      <c r="F161" s="24">
        <f>ROUND(6.4202,5)</f>
        <v>6.4202</v>
      </c>
      <c r="G161" s="25"/>
      <c r="H161" s="26"/>
    </row>
    <row r="162" spans="1:8" ht="12.75" customHeight="1">
      <c r="A162" s="23" t="s">
        <v>50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42950</v>
      </c>
      <c r="B163" s="23"/>
      <c r="C163" s="24">
        <f>ROUND(7.62,5)</f>
        <v>7.62</v>
      </c>
      <c r="D163" s="24">
        <f>F163</f>
        <v>7.61952</v>
      </c>
      <c r="E163" s="24">
        <f>F163</f>
        <v>7.61952</v>
      </c>
      <c r="F163" s="24">
        <f>ROUND(7.61952,5)</f>
        <v>7.61952</v>
      </c>
      <c r="G163" s="25"/>
      <c r="H163" s="26"/>
    </row>
    <row r="164" spans="1:8" ht="12.75" customHeight="1">
      <c r="A164" s="23">
        <v>43041</v>
      </c>
      <c r="B164" s="23"/>
      <c r="C164" s="24">
        <f>ROUND(7.62,5)</f>
        <v>7.62</v>
      </c>
      <c r="D164" s="24">
        <f>F164</f>
        <v>7.59879</v>
      </c>
      <c r="E164" s="24">
        <f>F164</f>
        <v>7.59879</v>
      </c>
      <c r="F164" s="24">
        <f>ROUND(7.59879,5)</f>
        <v>7.59879</v>
      </c>
      <c r="G164" s="25"/>
      <c r="H164" s="26"/>
    </row>
    <row r="165" spans="1:8" ht="12.75" customHeight="1">
      <c r="A165" s="23">
        <v>43132</v>
      </c>
      <c r="B165" s="23"/>
      <c r="C165" s="24">
        <f>ROUND(7.62,5)</f>
        <v>7.62</v>
      </c>
      <c r="D165" s="24">
        <f>F165</f>
        <v>7.5598</v>
      </c>
      <c r="E165" s="24">
        <f>F165</f>
        <v>7.5598</v>
      </c>
      <c r="F165" s="24">
        <f>ROUND(7.5598,5)</f>
        <v>7.5598</v>
      </c>
      <c r="G165" s="25"/>
      <c r="H165" s="26"/>
    </row>
    <row r="166" spans="1:8" ht="12.75" customHeight="1">
      <c r="A166" s="23">
        <v>43223</v>
      </c>
      <c r="B166" s="23"/>
      <c r="C166" s="24">
        <f>ROUND(7.62,5)</f>
        <v>7.62</v>
      </c>
      <c r="D166" s="24">
        <f>F166</f>
        <v>7.51634</v>
      </c>
      <c r="E166" s="24">
        <f>F166</f>
        <v>7.51634</v>
      </c>
      <c r="F166" s="24">
        <f>ROUND(7.51634,5)</f>
        <v>7.51634</v>
      </c>
      <c r="G166" s="25"/>
      <c r="H166" s="26"/>
    </row>
    <row r="167" spans="1:8" ht="12.75" customHeight="1">
      <c r="A167" s="23">
        <v>43314</v>
      </c>
      <c r="B167" s="23"/>
      <c r="C167" s="24">
        <f>ROUND(7.62,5)</f>
        <v>7.62</v>
      </c>
      <c r="D167" s="24">
        <f>F167</f>
        <v>7.46125</v>
      </c>
      <c r="E167" s="24">
        <f>F167</f>
        <v>7.46125</v>
      </c>
      <c r="F167" s="24">
        <f>ROUND(7.46125,5)</f>
        <v>7.46125</v>
      </c>
      <c r="G167" s="25"/>
      <c r="H167" s="26"/>
    </row>
    <row r="168" spans="1:8" ht="12.75" customHeight="1">
      <c r="A168" s="23" t="s">
        <v>51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42950</v>
      </c>
      <c r="B169" s="23"/>
      <c r="C169" s="24">
        <f>ROUND(7.75,5)</f>
        <v>7.75</v>
      </c>
      <c r="D169" s="24">
        <f>F169</f>
        <v>7.75274</v>
      </c>
      <c r="E169" s="24">
        <f>F169</f>
        <v>7.75274</v>
      </c>
      <c r="F169" s="24">
        <f>ROUND(7.75274,5)</f>
        <v>7.75274</v>
      </c>
      <c r="G169" s="25"/>
      <c r="H169" s="26"/>
    </row>
    <row r="170" spans="1:8" ht="12.75" customHeight="1">
      <c r="A170" s="23">
        <v>43041</v>
      </c>
      <c r="B170" s="23"/>
      <c r="C170" s="24">
        <f>ROUND(7.75,5)</f>
        <v>7.75</v>
      </c>
      <c r="D170" s="24">
        <f>F170</f>
        <v>7.75484</v>
      </c>
      <c r="E170" s="24">
        <f>F170</f>
        <v>7.75484</v>
      </c>
      <c r="F170" s="24">
        <f>ROUND(7.75484,5)</f>
        <v>7.75484</v>
      </c>
      <c r="G170" s="25"/>
      <c r="H170" s="26"/>
    </row>
    <row r="171" spans="1:8" ht="12.75" customHeight="1">
      <c r="A171" s="23">
        <v>43132</v>
      </c>
      <c r="B171" s="23"/>
      <c r="C171" s="24">
        <f>ROUND(7.75,5)</f>
        <v>7.75</v>
      </c>
      <c r="D171" s="24">
        <f>F171</f>
        <v>7.74873</v>
      </c>
      <c r="E171" s="24">
        <f>F171</f>
        <v>7.74873</v>
      </c>
      <c r="F171" s="24">
        <f>ROUND(7.74873,5)</f>
        <v>7.74873</v>
      </c>
      <c r="G171" s="25"/>
      <c r="H171" s="26"/>
    </row>
    <row r="172" spans="1:8" ht="12.75" customHeight="1">
      <c r="A172" s="23">
        <v>43223</v>
      </c>
      <c r="B172" s="23"/>
      <c r="C172" s="24">
        <f>ROUND(7.75,5)</f>
        <v>7.75</v>
      </c>
      <c r="D172" s="24">
        <f>F172</f>
        <v>7.73464</v>
      </c>
      <c r="E172" s="24">
        <f>F172</f>
        <v>7.73464</v>
      </c>
      <c r="F172" s="24">
        <f>ROUND(7.73464,5)</f>
        <v>7.73464</v>
      </c>
      <c r="G172" s="25"/>
      <c r="H172" s="26"/>
    </row>
    <row r="173" spans="1:8" ht="12.75" customHeight="1">
      <c r="A173" s="23">
        <v>43314</v>
      </c>
      <c r="B173" s="23"/>
      <c r="C173" s="24">
        <f>ROUND(7.75,5)</f>
        <v>7.75</v>
      </c>
      <c r="D173" s="24">
        <f>F173</f>
        <v>7.72089</v>
      </c>
      <c r="E173" s="24">
        <f>F173</f>
        <v>7.72089</v>
      </c>
      <c r="F173" s="24">
        <f>ROUND(7.72089,5)</f>
        <v>7.72089</v>
      </c>
      <c r="G173" s="25"/>
      <c r="H173" s="26"/>
    </row>
    <row r="174" spans="1:8" ht="12.75" customHeight="1">
      <c r="A174" s="23" t="s">
        <v>52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42950</v>
      </c>
      <c r="B175" s="23"/>
      <c r="C175" s="24">
        <f>ROUND(9.63,5)</f>
        <v>9.63</v>
      </c>
      <c r="D175" s="24">
        <f>F175</f>
        <v>9.6423</v>
      </c>
      <c r="E175" s="24">
        <f>F175</f>
        <v>9.6423</v>
      </c>
      <c r="F175" s="24">
        <f>ROUND(9.6423,5)</f>
        <v>9.6423</v>
      </c>
      <c r="G175" s="25"/>
      <c r="H175" s="26"/>
    </row>
    <row r="176" spans="1:8" ht="12.75" customHeight="1">
      <c r="A176" s="23">
        <v>43041</v>
      </c>
      <c r="B176" s="23"/>
      <c r="C176" s="24">
        <f>ROUND(9.63,5)</f>
        <v>9.63</v>
      </c>
      <c r="D176" s="24">
        <f>F176</f>
        <v>9.6931</v>
      </c>
      <c r="E176" s="24">
        <f>F176</f>
        <v>9.6931</v>
      </c>
      <c r="F176" s="24">
        <f>ROUND(9.6931,5)</f>
        <v>9.6931</v>
      </c>
      <c r="G176" s="25"/>
      <c r="H176" s="26"/>
    </row>
    <row r="177" spans="1:8" ht="12.75" customHeight="1">
      <c r="A177" s="23">
        <v>43132</v>
      </c>
      <c r="B177" s="23"/>
      <c r="C177" s="24">
        <f>ROUND(9.63,5)</f>
        <v>9.63</v>
      </c>
      <c r="D177" s="24">
        <f>F177</f>
        <v>9.74301</v>
      </c>
      <c r="E177" s="24">
        <f>F177</f>
        <v>9.74301</v>
      </c>
      <c r="F177" s="24">
        <f>ROUND(9.74301,5)</f>
        <v>9.74301</v>
      </c>
      <c r="G177" s="25"/>
      <c r="H177" s="26"/>
    </row>
    <row r="178" spans="1:8" ht="12.75" customHeight="1">
      <c r="A178" s="23">
        <v>43223</v>
      </c>
      <c r="B178" s="23"/>
      <c r="C178" s="24">
        <f>ROUND(9.63,5)</f>
        <v>9.63</v>
      </c>
      <c r="D178" s="24">
        <f>F178</f>
        <v>9.79275</v>
      </c>
      <c r="E178" s="24">
        <f>F178</f>
        <v>9.79275</v>
      </c>
      <c r="F178" s="24">
        <f>ROUND(9.79275,5)</f>
        <v>9.79275</v>
      </c>
      <c r="G178" s="25"/>
      <c r="H178" s="26"/>
    </row>
    <row r="179" spans="1:8" ht="12.75" customHeight="1">
      <c r="A179" s="23">
        <v>43314</v>
      </c>
      <c r="B179" s="23"/>
      <c r="C179" s="24">
        <f>ROUND(9.63,5)</f>
        <v>9.63</v>
      </c>
      <c r="D179" s="24">
        <f>F179</f>
        <v>9.84462</v>
      </c>
      <c r="E179" s="24">
        <f>F179</f>
        <v>9.84462</v>
      </c>
      <c r="F179" s="24">
        <f>ROUND(9.84462,5)</f>
        <v>9.84462</v>
      </c>
      <c r="G179" s="25"/>
      <c r="H179" s="26"/>
    </row>
    <row r="180" spans="1:8" ht="12.75" customHeight="1">
      <c r="A180" s="23" t="s">
        <v>53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42950</v>
      </c>
      <c r="B181" s="23"/>
      <c r="C181" s="24">
        <f>ROUND(2.49,5)</f>
        <v>2.49</v>
      </c>
      <c r="D181" s="24">
        <f>F181</f>
        <v>185.20445</v>
      </c>
      <c r="E181" s="24">
        <f>F181</f>
        <v>185.20445</v>
      </c>
      <c r="F181" s="24">
        <f>ROUND(185.20445,5)</f>
        <v>185.20445</v>
      </c>
      <c r="G181" s="25"/>
      <c r="H181" s="26"/>
    </row>
    <row r="182" spans="1:8" ht="12.75" customHeight="1">
      <c r="A182" s="23">
        <v>43041</v>
      </c>
      <c r="B182" s="23"/>
      <c r="C182" s="24">
        <f>ROUND(2.49,5)</f>
        <v>2.49</v>
      </c>
      <c r="D182" s="24">
        <f>F182</f>
        <v>186.37637</v>
      </c>
      <c r="E182" s="24">
        <f>F182</f>
        <v>186.37637</v>
      </c>
      <c r="F182" s="24">
        <f>ROUND(186.37637,5)</f>
        <v>186.37637</v>
      </c>
      <c r="G182" s="25"/>
      <c r="H182" s="26"/>
    </row>
    <row r="183" spans="1:8" ht="12.75" customHeight="1">
      <c r="A183" s="23">
        <v>43132</v>
      </c>
      <c r="B183" s="23"/>
      <c r="C183" s="24">
        <f>ROUND(2.49,5)</f>
        <v>2.49</v>
      </c>
      <c r="D183" s="24">
        <f>F183</f>
        <v>190.05055</v>
      </c>
      <c r="E183" s="24">
        <f>F183</f>
        <v>190.05055</v>
      </c>
      <c r="F183" s="24">
        <f>ROUND(190.05055,5)</f>
        <v>190.05055</v>
      </c>
      <c r="G183" s="25"/>
      <c r="H183" s="26"/>
    </row>
    <row r="184" spans="1:8" ht="12.75" customHeight="1">
      <c r="A184" s="23">
        <v>43223</v>
      </c>
      <c r="B184" s="23"/>
      <c r="C184" s="24">
        <f>ROUND(2.49,5)</f>
        <v>2.49</v>
      </c>
      <c r="D184" s="24">
        <f>F184</f>
        <v>191.42275</v>
      </c>
      <c r="E184" s="24">
        <f>F184</f>
        <v>191.42275</v>
      </c>
      <c r="F184" s="24">
        <f>ROUND(191.42275,5)</f>
        <v>191.42275</v>
      </c>
      <c r="G184" s="25"/>
      <c r="H184" s="26"/>
    </row>
    <row r="185" spans="1:8" ht="12.75" customHeight="1">
      <c r="A185" s="23">
        <v>43314</v>
      </c>
      <c r="B185" s="23"/>
      <c r="C185" s="24">
        <f>ROUND(2.49,5)</f>
        <v>2.49</v>
      </c>
      <c r="D185" s="24">
        <f>F185</f>
        <v>195.18751</v>
      </c>
      <c r="E185" s="24">
        <f>F185</f>
        <v>195.18751</v>
      </c>
      <c r="F185" s="24">
        <f>ROUND(195.18751,5)</f>
        <v>195.18751</v>
      </c>
      <c r="G185" s="25"/>
      <c r="H185" s="26"/>
    </row>
    <row r="186" spans="1:8" ht="12.75" customHeight="1">
      <c r="A186" s="23" t="s">
        <v>54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42950</v>
      </c>
      <c r="B187" s="23"/>
      <c r="C187" s="24">
        <f>ROUND(0,5)</f>
        <v>0</v>
      </c>
      <c r="D187" s="24">
        <f>F187</f>
        <v>141.66256</v>
      </c>
      <c r="E187" s="24">
        <f>F187</f>
        <v>141.66256</v>
      </c>
      <c r="F187" s="24">
        <f>ROUND(141.66256,5)</f>
        <v>141.66256</v>
      </c>
      <c r="G187" s="25"/>
      <c r="H187" s="26"/>
    </row>
    <row r="188" spans="1:8" ht="12.75" customHeight="1">
      <c r="A188" s="23">
        <v>43041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 t="s">
        <v>55</v>
      </c>
      <c r="B189" s="23"/>
      <c r="C189" s="27"/>
      <c r="D189" s="27"/>
      <c r="E189" s="27"/>
      <c r="F189" s="27"/>
      <c r="G189" s="25"/>
      <c r="H189" s="26"/>
    </row>
    <row r="190" spans="1:8" ht="12.75" customHeight="1">
      <c r="A190" s="23">
        <v>42950</v>
      </c>
      <c r="B190" s="23"/>
      <c r="C190" s="24">
        <f>ROUND(2.6,5)</f>
        <v>2.6</v>
      </c>
      <c r="D190" s="24">
        <f>F190</f>
        <v>147.53983</v>
      </c>
      <c r="E190" s="24">
        <f>F190</f>
        <v>147.53983</v>
      </c>
      <c r="F190" s="24">
        <f>ROUND(147.53983,5)</f>
        <v>147.53983</v>
      </c>
      <c r="G190" s="25"/>
      <c r="H190" s="26"/>
    </row>
    <row r="191" spans="1:8" ht="12.75" customHeight="1">
      <c r="A191" s="23">
        <v>43041</v>
      </c>
      <c r="B191" s="23"/>
      <c r="C191" s="24">
        <f>ROUND(2.6,5)</f>
        <v>2.6</v>
      </c>
      <c r="D191" s="24">
        <f>F191</f>
        <v>150.38512</v>
      </c>
      <c r="E191" s="24">
        <f>F191</f>
        <v>150.38512</v>
      </c>
      <c r="F191" s="24">
        <f>ROUND(150.38512,5)</f>
        <v>150.38512</v>
      </c>
      <c r="G191" s="25"/>
      <c r="H191" s="26"/>
    </row>
    <row r="192" spans="1:8" ht="12.75" customHeight="1">
      <c r="A192" s="23">
        <v>43132</v>
      </c>
      <c r="B192" s="23"/>
      <c r="C192" s="24">
        <f>ROUND(2.6,5)</f>
        <v>2.6</v>
      </c>
      <c r="D192" s="24">
        <f>F192</f>
        <v>151.28965</v>
      </c>
      <c r="E192" s="24">
        <f>F192</f>
        <v>151.28965</v>
      </c>
      <c r="F192" s="24">
        <f>ROUND(151.28965,5)</f>
        <v>151.28965</v>
      </c>
      <c r="G192" s="25"/>
      <c r="H192" s="26"/>
    </row>
    <row r="193" spans="1:8" ht="12.75" customHeight="1">
      <c r="A193" s="23">
        <v>43223</v>
      </c>
      <c r="B193" s="23"/>
      <c r="C193" s="24">
        <f>ROUND(2.6,5)</f>
        <v>2.6</v>
      </c>
      <c r="D193" s="24">
        <f>F193</f>
        <v>154.332</v>
      </c>
      <c r="E193" s="24">
        <f>F193</f>
        <v>154.332</v>
      </c>
      <c r="F193" s="24">
        <f>ROUND(154.332,5)</f>
        <v>154.332</v>
      </c>
      <c r="G193" s="25"/>
      <c r="H193" s="26"/>
    </row>
    <row r="194" spans="1:8" ht="12.75" customHeight="1">
      <c r="A194" s="23">
        <v>43314</v>
      </c>
      <c r="B194" s="23"/>
      <c r="C194" s="24">
        <f>ROUND(2.6,5)</f>
        <v>2.6</v>
      </c>
      <c r="D194" s="24">
        <f>F194</f>
        <v>157.36773</v>
      </c>
      <c r="E194" s="24">
        <f>F194</f>
        <v>157.36773</v>
      </c>
      <c r="F194" s="24">
        <f>ROUND(157.36773,5)</f>
        <v>157.36773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42950</v>
      </c>
      <c r="B196" s="23"/>
      <c r="C196" s="24">
        <f>ROUND(9.36,5)</f>
        <v>9.36</v>
      </c>
      <c r="D196" s="24">
        <f>F196</f>
        <v>9.37211</v>
      </c>
      <c r="E196" s="24">
        <f>F196</f>
        <v>9.37211</v>
      </c>
      <c r="F196" s="24">
        <f>ROUND(9.37211,5)</f>
        <v>9.37211</v>
      </c>
      <c r="G196" s="25"/>
      <c r="H196" s="26"/>
    </row>
    <row r="197" spans="1:8" ht="12.75" customHeight="1">
      <c r="A197" s="23">
        <v>43041</v>
      </c>
      <c r="B197" s="23"/>
      <c r="C197" s="24">
        <f>ROUND(9.36,5)</f>
        <v>9.36</v>
      </c>
      <c r="D197" s="24">
        <f>F197</f>
        <v>9.42395</v>
      </c>
      <c r="E197" s="24">
        <f>F197</f>
        <v>9.42395</v>
      </c>
      <c r="F197" s="24">
        <f>ROUND(9.42395,5)</f>
        <v>9.42395</v>
      </c>
      <c r="G197" s="25"/>
      <c r="H197" s="26"/>
    </row>
    <row r="198" spans="1:8" ht="12.75" customHeight="1">
      <c r="A198" s="23">
        <v>43132</v>
      </c>
      <c r="B198" s="23"/>
      <c r="C198" s="24">
        <f>ROUND(9.36,5)</f>
        <v>9.36</v>
      </c>
      <c r="D198" s="24">
        <f>F198</f>
        <v>9.47602</v>
      </c>
      <c r="E198" s="24">
        <f>F198</f>
        <v>9.47602</v>
      </c>
      <c r="F198" s="24">
        <f>ROUND(9.47602,5)</f>
        <v>9.47602</v>
      </c>
      <c r="G198" s="25"/>
      <c r="H198" s="26"/>
    </row>
    <row r="199" spans="1:8" ht="12.75" customHeight="1">
      <c r="A199" s="23">
        <v>43223</v>
      </c>
      <c r="B199" s="23"/>
      <c r="C199" s="24">
        <f>ROUND(9.36,5)</f>
        <v>9.36</v>
      </c>
      <c r="D199" s="24">
        <f>F199</f>
        <v>9.52434</v>
      </c>
      <c r="E199" s="24">
        <f>F199</f>
        <v>9.52434</v>
      </c>
      <c r="F199" s="24">
        <f>ROUND(9.52434,5)</f>
        <v>9.52434</v>
      </c>
      <c r="G199" s="25"/>
      <c r="H199" s="26"/>
    </row>
    <row r="200" spans="1:8" ht="12.75" customHeight="1">
      <c r="A200" s="23">
        <v>43314</v>
      </c>
      <c r="B200" s="23"/>
      <c r="C200" s="24">
        <f>ROUND(9.36,5)</f>
        <v>9.36</v>
      </c>
      <c r="D200" s="24">
        <f>F200</f>
        <v>9.57573</v>
      </c>
      <c r="E200" s="24">
        <f>F200</f>
        <v>9.57573</v>
      </c>
      <c r="F200" s="24">
        <f>ROUND(9.57573,5)</f>
        <v>9.57573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42950</v>
      </c>
      <c r="B202" s="23"/>
      <c r="C202" s="24">
        <f>ROUND(9.765,5)</f>
        <v>9.765</v>
      </c>
      <c r="D202" s="24">
        <f>F202</f>
        <v>9.77731</v>
      </c>
      <c r="E202" s="24">
        <f>F202</f>
        <v>9.77731</v>
      </c>
      <c r="F202" s="24">
        <f>ROUND(9.77731,5)</f>
        <v>9.77731</v>
      </c>
      <c r="G202" s="25"/>
      <c r="H202" s="26"/>
    </row>
    <row r="203" spans="1:8" ht="12.75" customHeight="1">
      <c r="A203" s="23">
        <v>43041</v>
      </c>
      <c r="B203" s="23"/>
      <c r="C203" s="24">
        <f>ROUND(9.765,5)</f>
        <v>9.765</v>
      </c>
      <c r="D203" s="24">
        <f>F203</f>
        <v>9.82989</v>
      </c>
      <c r="E203" s="24">
        <f>F203</f>
        <v>9.82989</v>
      </c>
      <c r="F203" s="24">
        <f>ROUND(9.82989,5)</f>
        <v>9.82989</v>
      </c>
      <c r="G203" s="25"/>
      <c r="H203" s="26"/>
    </row>
    <row r="204" spans="1:8" ht="12.75" customHeight="1">
      <c r="A204" s="23">
        <v>43132</v>
      </c>
      <c r="B204" s="23"/>
      <c r="C204" s="24">
        <f>ROUND(9.765,5)</f>
        <v>9.765</v>
      </c>
      <c r="D204" s="24">
        <f>F204</f>
        <v>9.88269</v>
      </c>
      <c r="E204" s="24">
        <f>F204</f>
        <v>9.88269</v>
      </c>
      <c r="F204" s="24">
        <f>ROUND(9.88269,5)</f>
        <v>9.88269</v>
      </c>
      <c r="G204" s="25"/>
      <c r="H204" s="26"/>
    </row>
    <row r="205" spans="1:8" ht="12.75" customHeight="1">
      <c r="A205" s="23">
        <v>43223</v>
      </c>
      <c r="B205" s="23"/>
      <c r="C205" s="24">
        <f>ROUND(9.765,5)</f>
        <v>9.765</v>
      </c>
      <c r="D205" s="24">
        <f>F205</f>
        <v>9.93199</v>
      </c>
      <c r="E205" s="24">
        <f>F205</f>
        <v>9.93199</v>
      </c>
      <c r="F205" s="24">
        <f>ROUND(9.93199,5)</f>
        <v>9.93199</v>
      </c>
      <c r="G205" s="25"/>
      <c r="H205" s="26"/>
    </row>
    <row r="206" spans="1:8" ht="12.75" customHeight="1">
      <c r="A206" s="23">
        <v>43314</v>
      </c>
      <c r="B206" s="23"/>
      <c r="C206" s="24">
        <f>ROUND(9.765,5)</f>
        <v>9.765</v>
      </c>
      <c r="D206" s="24">
        <f>F206</f>
        <v>9.9837</v>
      </c>
      <c r="E206" s="24">
        <f>F206</f>
        <v>9.9837</v>
      </c>
      <c r="F206" s="24">
        <f>ROUND(9.9837,5)</f>
        <v>9.9837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42950</v>
      </c>
      <c r="B208" s="23"/>
      <c r="C208" s="24">
        <f>ROUND(9.84,5)</f>
        <v>9.84</v>
      </c>
      <c r="D208" s="24">
        <f>F208</f>
        <v>9.85287</v>
      </c>
      <c r="E208" s="24">
        <f>F208</f>
        <v>9.85287</v>
      </c>
      <c r="F208" s="24">
        <f>ROUND(9.85287,5)</f>
        <v>9.85287</v>
      </c>
      <c r="G208" s="25"/>
      <c r="H208" s="26"/>
    </row>
    <row r="209" spans="1:8" ht="12.75" customHeight="1">
      <c r="A209" s="23">
        <v>43041</v>
      </c>
      <c r="B209" s="23"/>
      <c r="C209" s="24">
        <f>ROUND(9.84,5)</f>
        <v>9.84</v>
      </c>
      <c r="D209" s="24">
        <f>F209</f>
        <v>9.90785</v>
      </c>
      <c r="E209" s="24">
        <f>F209</f>
        <v>9.90785</v>
      </c>
      <c r="F209" s="24">
        <f>ROUND(9.90785,5)</f>
        <v>9.90785</v>
      </c>
      <c r="G209" s="25"/>
      <c r="H209" s="26"/>
    </row>
    <row r="210" spans="1:8" ht="12.75" customHeight="1">
      <c r="A210" s="23">
        <v>43132</v>
      </c>
      <c r="B210" s="23"/>
      <c r="C210" s="24">
        <f>ROUND(9.84,5)</f>
        <v>9.84</v>
      </c>
      <c r="D210" s="24">
        <f>F210</f>
        <v>9.96317</v>
      </c>
      <c r="E210" s="24">
        <f>F210</f>
        <v>9.96317</v>
      </c>
      <c r="F210" s="24">
        <f>ROUND(9.96317,5)</f>
        <v>9.96317</v>
      </c>
      <c r="G210" s="25"/>
      <c r="H210" s="26"/>
    </row>
    <row r="211" spans="1:8" ht="12.75" customHeight="1">
      <c r="A211" s="23">
        <v>43223</v>
      </c>
      <c r="B211" s="23"/>
      <c r="C211" s="24">
        <f>ROUND(9.84,5)</f>
        <v>9.84</v>
      </c>
      <c r="D211" s="24">
        <f>F211</f>
        <v>10.01495</v>
      </c>
      <c r="E211" s="24">
        <f>F211</f>
        <v>10.01495</v>
      </c>
      <c r="F211" s="24">
        <f>ROUND(10.01495,5)</f>
        <v>10.01495</v>
      </c>
      <c r="G211" s="25"/>
      <c r="H211" s="26"/>
    </row>
    <row r="212" spans="1:8" ht="12.75" customHeight="1">
      <c r="A212" s="23">
        <v>43314</v>
      </c>
      <c r="B212" s="23"/>
      <c r="C212" s="24">
        <f>ROUND(9.84,5)</f>
        <v>9.84</v>
      </c>
      <c r="D212" s="24">
        <f>F212</f>
        <v>10.06929</v>
      </c>
      <c r="E212" s="24">
        <f>F212</f>
        <v>10.06929</v>
      </c>
      <c r="F212" s="24">
        <f>ROUND(10.06929,5)</f>
        <v>10.06929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42943</v>
      </c>
      <c r="B214" s="23"/>
      <c r="C214" s="28">
        <f>ROUND(15.12829175,4)</f>
        <v>15.1283</v>
      </c>
      <c r="D214" s="28">
        <f>F214</f>
        <v>15.1626</v>
      </c>
      <c r="E214" s="28">
        <f>F214</f>
        <v>15.1626</v>
      </c>
      <c r="F214" s="28">
        <f>ROUND(15.1626,4)</f>
        <v>15.1626</v>
      </c>
      <c r="G214" s="25"/>
      <c r="H214" s="26"/>
    </row>
    <row r="215" spans="1:8" ht="12.75" customHeight="1">
      <c r="A215" s="23">
        <v>42947</v>
      </c>
      <c r="B215" s="23"/>
      <c r="C215" s="28">
        <f>ROUND(15.12829175,4)</f>
        <v>15.1283</v>
      </c>
      <c r="D215" s="28">
        <f>F215</f>
        <v>15.1761</v>
      </c>
      <c r="E215" s="28">
        <f>F215</f>
        <v>15.1761</v>
      </c>
      <c r="F215" s="28">
        <f>ROUND(15.1761,4)</f>
        <v>15.1761</v>
      </c>
      <c r="G215" s="25"/>
      <c r="H215" s="26"/>
    </row>
    <row r="216" spans="1:8" ht="12.75" customHeight="1">
      <c r="A216" s="23">
        <v>42976</v>
      </c>
      <c r="B216" s="23"/>
      <c r="C216" s="28">
        <f>ROUND(15.12829175,4)</f>
        <v>15.1283</v>
      </c>
      <c r="D216" s="28">
        <f>F216</f>
        <v>15.2733</v>
      </c>
      <c r="E216" s="28">
        <f>F216</f>
        <v>15.2733</v>
      </c>
      <c r="F216" s="28">
        <f>ROUND(15.2733,4)</f>
        <v>15.2733</v>
      </c>
      <c r="G216" s="25"/>
      <c r="H216" s="26"/>
    </row>
    <row r="217" spans="1:8" ht="12.75" customHeight="1">
      <c r="A217" s="23">
        <v>43005</v>
      </c>
      <c r="B217" s="23"/>
      <c r="C217" s="28">
        <f>ROUND(15.12829175,4)</f>
        <v>15.1283</v>
      </c>
      <c r="D217" s="28">
        <f>F217</f>
        <v>15.371</v>
      </c>
      <c r="E217" s="28">
        <f>F217</f>
        <v>15.371</v>
      </c>
      <c r="F217" s="28">
        <f>ROUND(15.371,4)</f>
        <v>15.371</v>
      </c>
      <c r="G217" s="25"/>
      <c r="H217" s="26"/>
    </row>
    <row r="218" spans="1:8" ht="12.75" customHeight="1">
      <c r="A218" s="23">
        <v>43035</v>
      </c>
      <c r="B218" s="23"/>
      <c r="C218" s="28">
        <f>ROUND(15.12829175,4)</f>
        <v>15.1283</v>
      </c>
      <c r="D218" s="28">
        <f>F218</f>
        <v>15.473</v>
      </c>
      <c r="E218" s="28">
        <f>F218</f>
        <v>15.473</v>
      </c>
      <c r="F218" s="28">
        <f>ROUND(15.473,4)</f>
        <v>15.473</v>
      </c>
      <c r="G218" s="25"/>
      <c r="H218" s="26"/>
    </row>
    <row r="219" spans="1:8" ht="12.75" customHeight="1">
      <c r="A219" s="23">
        <v>43067</v>
      </c>
      <c r="B219" s="23"/>
      <c r="C219" s="28">
        <f>ROUND(15.12829175,4)</f>
        <v>15.1283</v>
      </c>
      <c r="D219" s="28">
        <f>F219</f>
        <v>15.5795</v>
      </c>
      <c r="E219" s="28">
        <f>F219</f>
        <v>15.5795</v>
      </c>
      <c r="F219" s="28">
        <f>ROUND(15.5795,4)</f>
        <v>15.5795</v>
      </c>
      <c r="G219" s="25"/>
      <c r="H219" s="26"/>
    </row>
    <row r="220" spans="1:8" ht="12.75" customHeight="1">
      <c r="A220" s="23">
        <v>43096</v>
      </c>
      <c r="B220" s="23"/>
      <c r="C220" s="28">
        <f>ROUND(15.12829175,4)</f>
        <v>15.1283</v>
      </c>
      <c r="D220" s="28">
        <f>F220</f>
        <v>15.6778</v>
      </c>
      <c r="E220" s="28">
        <f>F220</f>
        <v>15.6778</v>
      </c>
      <c r="F220" s="28">
        <f>ROUND(15.6778,4)</f>
        <v>15.6778</v>
      </c>
      <c r="G220" s="25"/>
      <c r="H220" s="26"/>
    </row>
    <row r="221" spans="1:8" ht="12.75" customHeight="1">
      <c r="A221" s="23" t="s">
        <v>60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42947</v>
      </c>
      <c r="B222" s="23"/>
      <c r="C222" s="28">
        <f>ROUND(17.0608295,4)</f>
        <v>17.0608</v>
      </c>
      <c r="D222" s="28">
        <f>F222</f>
        <v>17.1103</v>
      </c>
      <c r="E222" s="28">
        <f>F222</f>
        <v>17.1103</v>
      </c>
      <c r="F222" s="28">
        <f>ROUND(17.1103,4)</f>
        <v>17.1103</v>
      </c>
      <c r="G222" s="25"/>
      <c r="H222" s="26"/>
    </row>
    <row r="223" spans="1:8" ht="12.75" customHeight="1">
      <c r="A223" s="23" t="s">
        <v>61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42930</v>
      </c>
      <c r="B224" s="23"/>
      <c r="C224" s="28">
        <f>ROUND(13.2275,4)</f>
        <v>13.2275</v>
      </c>
      <c r="D224" s="28">
        <f>F224</f>
        <v>13.2334</v>
      </c>
      <c r="E224" s="28">
        <f>F224</f>
        <v>13.2334</v>
      </c>
      <c r="F224" s="28">
        <f>ROUND(13.2334,4)</f>
        <v>13.2334</v>
      </c>
      <c r="G224" s="25"/>
      <c r="H224" s="26"/>
    </row>
    <row r="225" spans="1:8" ht="12.75" customHeight="1">
      <c r="A225" s="23">
        <v>42933</v>
      </c>
      <c r="B225" s="23"/>
      <c r="C225" s="28">
        <f>ROUND(13.2275,4)</f>
        <v>13.2275</v>
      </c>
      <c r="D225" s="28">
        <f>F225</f>
        <v>13.2334</v>
      </c>
      <c r="E225" s="28">
        <f>F225</f>
        <v>13.2334</v>
      </c>
      <c r="F225" s="28">
        <f>ROUND(13.2334,4)</f>
        <v>13.2334</v>
      </c>
      <c r="G225" s="25"/>
      <c r="H225" s="26"/>
    </row>
    <row r="226" spans="1:8" ht="12.75" customHeight="1">
      <c r="A226" s="23">
        <v>42934</v>
      </c>
      <c r="B226" s="23"/>
      <c r="C226" s="28">
        <f>ROUND(13.2275,4)</f>
        <v>13.2275</v>
      </c>
      <c r="D226" s="28">
        <f>F226</f>
        <v>13.231</v>
      </c>
      <c r="E226" s="28">
        <f>F226</f>
        <v>13.231</v>
      </c>
      <c r="F226" s="28">
        <f>ROUND(13.231,4)</f>
        <v>13.231</v>
      </c>
      <c r="G226" s="25"/>
      <c r="H226" s="26"/>
    </row>
    <row r="227" spans="1:8" ht="12.75" customHeight="1">
      <c r="A227" s="23">
        <v>42935</v>
      </c>
      <c r="B227" s="23"/>
      <c r="C227" s="28">
        <f>ROUND(13.2275,4)</f>
        <v>13.2275</v>
      </c>
      <c r="D227" s="28">
        <f>F227</f>
        <v>13.2332</v>
      </c>
      <c r="E227" s="28">
        <f>F227</f>
        <v>13.2332</v>
      </c>
      <c r="F227" s="28">
        <f>ROUND(13.2332,4)</f>
        <v>13.2332</v>
      </c>
      <c r="G227" s="25"/>
      <c r="H227" s="26"/>
    </row>
    <row r="228" spans="1:8" ht="12.75" customHeight="1">
      <c r="A228" s="23">
        <v>42937</v>
      </c>
      <c r="B228" s="23"/>
      <c r="C228" s="28">
        <f>ROUND(13.2275,4)</f>
        <v>13.2275</v>
      </c>
      <c r="D228" s="28">
        <f>F228</f>
        <v>13.2376</v>
      </c>
      <c r="E228" s="28">
        <f>F228</f>
        <v>13.2376</v>
      </c>
      <c r="F228" s="28">
        <f>ROUND(13.2376,4)</f>
        <v>13.2376</v>
      </c>
      <c r="G228" s="25"/>
      <c r="H228" s="26"/>
    </row>
    <row r="229" spans="1:8" ht="12.75" customHeight="1">
      <c r="A229" s="23">
        <v>42941</v>
      </c>
      <c r="B229" s="23"/>
      <c r="C229" s="28">
        <f>ROUND(13.2275,4)</f>
        <v>13.2275</v>
      </c>
      <c r="D229" s="28">
        <f>F229</f>
        <v>13.2463</v>
      </c>
      <c r="E229" s="28">
        <f>F229</f>
        <v>13.2463</v>
      </c>
      <c r="F229" s="28">
        <f>ROUND(13.2463,4)</f>
        <v>13.2463</v>
      </c>
      <c r="G229" s="25"/>
      <c r="H229" s="26"/>
    </row>
    <row r="230" spans="1:8" ht="12.75" customHeight="1">
      <c r="A230" s="23">
        <v>42943</v>
      </c>
      <c r="B230" s="23"/>
      <c r="C230" s="28">
        <f>ROUND(13.2275,4)</f>
        <v>13.2275</v>
      </c>
      <c r="D230" s="28">
        <f>F230</f>
        <v>13.2508</v>
      </c>
      <c r="E230" s="28">
        <f>F230</f>
        <v>13.2508</v>
      </c>
      <c r="F230" s="28">
        <f>ROUND(13.2508,4)</f>
        <v>13.2508</v>
      </c>
      <c r="G230" s="25"/>
      <c r="H230" s="26"/>
    </row>
    <row r="231" spans="1:8" ht="12.75" customHeight="1">
      <c r="A231" s="23">
        <v>42947</v>
      </c>
      <c r="B231" s="23"/>
      <c r="C231" s="28">
        <f>ROUND(13.2275,4)</f>
        <v>13.2275</v>
      </c>
      <c r="D231" s="28">
        <f>F231</f>
        <v>13.2599</v>
      </c>
      <c r="E231" s="28">
        <f>F231</f>
        <v>13.2599</v>
      </c>
      <c r="F231" s="28">
        <f>ROUND(13.2599,4)</f>
        <v>13.2599</v>
      </c>
      <c r="G231" s="25"/>
      <c r="H231" s="26"/>
    </row>
    <row r="232" spans="1:8" ht="12.75" customHeight="1">
      <c r="A232" s="23">
        <v>42951</v>
      </c>
      <c r="B232" s="23"/>
      <c r="C232" s="28">
        <f>ROUND(13.2275,4)</f>
        <v>13.2275</v>
      </c>
      <c r="D232" s="28">
        <f>F232</f>
        <v>13.2689</v>
      </c>
      <c r="E232" s="28">
        <f>F232</f>
        <v>13.2689</v>
      </c>
      <c r="F232" s="28">
        <f>ROUND(13.2689,4)</f>
        <v>13.2689</v>
      </c>
      <c r="G232" s="25"/>
      <c r="H232" s="26"/>
    </row>
    <row r="233" spans="1:8" ht="12.75" customHeight="1">
      <c r="A233" s="23">
        <v>42958</v>
      </c>
      <c r="B233" s="23"/>
      <c r="C233" s="28">
        <f>ROUND(13.2275,4)</f>
        <v>13.2275</v>
      </c>
      <c r="D233" s="28">
        <f>F233</f>
        <v>13.2847</v>
      </c>
      <c r="E233" s="28">
        <f>F233</f>
        <v>13.2847</v>
      </c>
      <c r="F233" s="28">
        <f>ROUND(13.2847,4)</f>
        <v>13.2847</v>
      </c>
      <c r="G233" s="25"/>
      <c r="H233" s="26"/>
    </row>
    <row r="234" spans="1:8" ht="12.75" customHeight="1">
      <c r="A234" s="23">
        <v>42964</v>
      </c>
      <c r="B234" s="23"/>
      <c r="C234" s="28">
        <f>ROUND(13.2275,4)</f>
        <v>13.2275</v>
      </c>
      <c r="D234" s="28">
        <f>F234</f>
        <v>13.2982</v>
      </c>
      <c r="E234" s="28">
        <f>F234</f>
        <v>13.2982</v>
      </c>
      <c r="F234" s="28">
        <f>ROUND(13.2982,4)</f>
        <v>13.2982</v>
      </c>
      <c r="G234" s="25"/>
      <c r="H234" s="26"/>
    </row>
    <row r="235" spans="1:8" ht="12.75" customHeight="1">
      <c r="A235" s="23">
        <v>42976</v>
      </c>
      <c r="B235" s="23"/>
      <c r="C235" s="28">
        <f>ROUND(13.2275,4)</f>
        <v>13.2275</v>
      </c>
      <c r="D235" s="28">
        <f>F235</f>
        <v>13.325</v>
      </c>
      <c r="E235" s="28">
        <f>F235</f>
        <v>13.325</v>
      </c>
      <c r="F235" s="28">
        <f>ROUND(13.325,4)</f>
        <v>13.325</v>
      </c>
      <c r="G235" s="25"/>
      <c r="H235" s="26"/>
    </row>
    <row r="236" spans="1:8" ht="12.75" customHeight="1">
      <c r="A236" s="23">
        <v>42978</v>
      </c>
      <c r="B236" s="23"/>
      <c r="C236" s="28">
        <f>ROUND(13.2275,4)</f>
        <v>13.2275</v>
      </c>
      <c r="D236" s="28">
        <f>F236</f>
        <v>13.3294</v>
      </c>
      <c r="E236" s="28">
        <f>F236</f>
        <v>13.3294</v>
      </c>
      <c r="F236" s="28">
        <f>ROUND(13.3294,4)</f>
        <v>13.3294</v>
      </c>
      <c r="G236" s="25"/>
      <c r="H236" s="26"/>
    </row>
    <row r="237" spans="1:8" ht="12.75" customHeight="1">
      <c r="A237" s="23">
        <v>43005</v>
      </c>
      <c r="B237" s="23"/>
      <c r="C237" s="28">
        <f>ROUND(13.2275,4)</f>
        <v>13.2275</v>
      </c>
      <c r="D237" s="28">
        <f>F237</f>
        <v>13.3897</v>
      </c>
      <c r="E237" s="28">
        <f>F237</f>
        <v>13.3897</v>
      </c>
      <c r="F237" s="28">
        <f>ROUND(13.3897,4)</f>
        <v>13.3897</v>
      </c>
      <c r="G237" s="25"/>
      <c r="H237" s="26"/>
    </row>
    <row r="238" spans="1:8" ht="12.75" customHeight="1">
      <c r="A238" s="23">
        <v>43006</v>
      </c>
      <c r="B238" s="23"/>
      <c r="C238" s="28">
        <f>ROUND(13.2275,4)</f>
        <v>13.2275</v>
      </c>
      <c r="D238" s="28">
        <f>F238</f>
        <v>13.392</v>
      </c>
      <c r="E238" s="28">
        <f>F238</f>
        <v>13.392</v>
      </c>
      <c r="F238" s="28">
        <f>ROUND(13.392,4)</f>
        <v>13.392</v>
      </c>
      <c r="G238" s="25"/>
      <c r="H238" s="26"/>
    </row>
    <row r="239" spans="1:8" ht="12.75" customHeight="1">
      <c r="A239" s="23">
        <v>43007</v>
      </c>
      <c r="B239" s="23"/>
      <c r="C239" s="28">
        <f>ROUND(13.2275,4)</f>
        <v>13.2275</v>
      </c>
      <c r="D239" s="28">
        <f>F239</f>
        <v>13.3942</v>
      </c>
      <c r="E239" s="28">
        <f>F239</f>
        <v>13.3942</v>
      </c>
      <c r="F239" s="28">
        <f>ROUND(13.3942,4)</f>
        <v>13.3942</v>
      </c>
      <c r="G239" s="25"/>
      <c r="H239" s="26"/>
    </row>
    <row r="240" spans="1:8" ht="12.75" customHeight="1">
      <c r="A240" s="23">
        <v>43031</v>
      </c>
      <c r="B240" s="23"/>
      <c r="C240" s="28">
        <f>ROUND(13.2275,4)</f>
        <v>13.2275</v>
      </c>
      <c r="D240" s="28">
        <f>F240</f>
        <v>13.4477</v>
      </c>
      <c r="E240" s="28">
        <f>F240</f>
        <v>13.4477</v>
      </c>
      <c r="F240" s="28">
        <f>ROUND(13.4477,4)</f>
        <v>13.4477</v>
      </c>
      <c r="G240" s="25"/>
      <c r="H240" s="26"/>
    </row>
    <row r="241" spans="1:8" ht="12.75" customHeight="1">
      <c r="A241" s="23">
        <v>43035</v>
      </c>
      <c r="B241" s="23"/>
      <c r="C241" s="28">
        <f>ROUND(13.2275,4)</f>
        <v>13.2275</v>
      </c>
      <c r="D241" s="28">
        <f>F241</f>
        <v>13.4565</v>
      </c>
      <c r="E241" s="28">
        <f>F241</f>
        <v>13.4565</v>
      </c>
      <c r="F241" s="28">
        <f>ROUND(13.4565,4)</f>
        <v>13.4565</v>
      </c>
      <c r="G241" s="25"/>
      <c r="H241" s="26"/>
    </row>
    <row r="242" spans="1:8" ht="12.75" customHeight="1">
      <c r="A242" s="23">
        <v>43052</v>
      </c>
      <c r="B242" s="23"/>
      <c r="C242" s="28">
        <f>ROUND(13.2275,4)</f>
        <v>13.2275</v>
      </c>
      <c r="D242" s="28">
        <f>F242</f>
        <v>13.4936</v>
      </c>
      <c r="E242" s="28">
        <f>F242</f>
        <v>13.4936</v>
      </c>
      <c r="F242" s="28">
        <f>ROUND(13.4936,4)</f>
        <v>13.4936</v>
      </c>
      <c r="G242" s="25"/>
      <c r="H242" s="26"/>
    </row>
    <row r="243" spans="1:8" ht="12.75" customHeight="1">
      <c r="A243" s="23">
        <v>43067</v>
      </c>
      <c r="B243" s="23"/>
      <c r="C243" s="28">
        <f>ROUND(13.2275,4)</f>
        <v>13.2275</v>
      </c>
      <c r="D243" s="28">
        <f>F243</f>
        <v>13.5265</v>
      </c>
      <c r="E243" s="28">
        <f>F243</f>
        <v>13.5265</v>
      </c>
      <c r="F243" s="28">
        <f>ROUND(13.5265,4)</f>
        <v>13.5265</v>
      </c>
      <c r="G243" s="25"/>
      <c r="H243" s="26"/>
    </row>
    <row r="244" spans="1:8" ht="12.75" customHeight="1">
      <c r="A244" s="23">
        <v>43091</v>
      </c>
      <c r="B244" s="23"/>
      <c r="C244" s="28">
        <f>ROUND(13.2275,4)</f>
        <v>13.2275</v>
      </c>
      <c r="D244" s="28">
        <f>F244</f>
        <v>13.579</v>
      </c>
      <c r="E244" s="28">
        <f>F244</f>
        <v>13.579</v>
      </c>
      <c r="F244" s="28">
        <f>ROUND(13.579,4)</f>
        <v>13.579</v>
      </c>
      <c r="G244" s="25"/>
      <c r="H244" s="26"/>
    </row>
    <row r="245" spans="1:8" ht="12.75" customHeight="1">
      <c r="A245" s="23">
        <v>43096</v>
      </c>
      <c r="B245" s="23"/>
      <c r="C245" s="28">
        <f>ROUND(13.2275,4)</f>
        <v>13.2275</v>
      </c>
      <c r="D245" s="28">
        <f>F245</f>
        <v>13.5899</v>
      </c>
      <c r="E245" s="28">
        <f>F245</f>
        <v>13.5899</v>
      </c>
      <c r="F245" s="28">
        <f>ROUND(13.5899,4)</f>
        <v>13.5899</v>
      </c>
      <c r="G245" s="25"/>
      <c r="H245" s="26"/>
    </row>
    <row r="246" spans="1:8" ht="12.75" customHeight="1">
      <c r="A246" s="23">
        <v>43102</v>
      </c>
      <c r="B246" s="23"/>
      <c r="C246" s="28">
        <f>ROUND(13.2275,4)</f>
        <v>13.2275</v>
      </c>
      <c r="D246" s="28">
        <f>F246</f>
        <v>13.603</v>
      </c>
      <c r="E246" s="28">
        <f>F246</f>
        <v>13.603</v>
      </c>
      <c r="F246" s="28">
        <f>ROUND(13.603,4)</f>
        <v>13.603</v>
      </c>
      <c r="G246" s="25"/>
      <c r="H246" s="26"/>
    </row>
    <row r="247" spans="1:8" ht="12.75" customHeight="1">
      <c r="A247" s="23">
        <v>43109</v>
      </c>
      <c r="B247" s="23"/>
      <c r="C247" s="28">
        <f>ROUND(13.2275,4)</f>
        <v>13.2275</v>
      </c>
      <c r="D247" s="28">
        <f>F247</f>
        <v>13.6184</v>
      </c>
      <c r="E247" s="28">
        <f>F247</f>
        <v>13.6184</v>
      </c>
      <c r="F247" s="28">
        <f>ROUND(13.6184,4)</f>
        <v>13.6184</v>
      </c>
      <c r="G247" s="25"/>
      <c r="H247" s="26"/>
    </row>
    <row r="248" spans="1:8" ht="12.75" customHeight="1">
      <c r="A248" s="23">
        <v>43131</v>
      </c>
      <c r="B248" s="23"/>
      <c r="C248" s="28">
        <f>ROUND(13.2275,4)</f>
        <v>13.2275</v>
      </c>
      <c r="D248" s="28">
        <f>F248</f>
        <v>13.6659</v>
      </c>
      <c r="E248" s="28">
        <f>F248</f>
        <v>13.6659</v>
      </c>
      <c r="F248" s="28">
        <f>ROUND(13.6659,4)</f>
        <v>13.6659</v>
      </c>
      <c r="G248" s="25"/>
      <c r="H248" s="26"/>
    </row>
    <row r="249" spans="1:8" ht="12.75" customHeight="1">
      <c r="A249" s="23">
        <v>43132</v>
      </c>
      <c r="B249" s="23"/>
      <c r="C249" s="28">
        <f>ROUND(13.2275,4)</f>
        <v>13.2275</v>
      </c>
      <c r="D249" s="28">
        <f>F249</f>
        <v>13.668</v>
      </c>
      <c r="E249" s="28">
        <f>F249</f>
        <v>13.668</v>
      </c>
      <c r="F249" s="28">
        <f>ROUND(13.668,4)</f>
        <v>13.668</v>
      </c>
      <c r="G249" s="25"/>
      <c r="H249" s="26"/>
    </row>
    <row r="250" spans="1:8" ht="12.75" customHeight="1">
      <c r="A250" s="23">
        <v>43144</v>
      </c>
      <c r="B250" s="23"/>
      <c r="C250" s="28">
        <f>ROUND(13.2275,4)</f>
        <v>13.2275</v>
      </c>
      <c r="D250" s="28">
        <f>F250</f>
        <v>13.6937</v>
      </c>
      <c r="E250" s="28">
        <f>F250</f>
        <v>13.6937</v>
      </c>
      <c r="F250" s="28">
        <f>ROUND(13.6937,4)</f>
        <v>13.6937</v>
      </c>
      <c r="G250" s="25"/>
      <c r="H250" s="26"/>
    </row>
    <row r="251" spans="1:8" ht="12.75" customHeight="1">
      <c r="A251" s="23">
        <v>43146</v>
      </c>
      <c r="B251" s="23"/>
      <c r="C251" s="28">
        <f>ROUND(13.2275,4)</f>
        <v>13.2275</v>
      </c>
      <c r="D251" s="28">
        <f>F251</f>
        <v>13.698</v>
      </c>
      <c r="E251" s="28">
        <f>F251</f>
        <v>13.698</v>
      </c>
      <c r="F251" s="28">
        <f>ROUND(13.698,4)</f>
        <v>13.698</v>
      </c>
      <c r="G251" s="25"/>
      <c r="H251" s="26"/>
    </row>
    <row r="252" spans="1:8" ht="12.75" customHeight="1">
      <c r="A252" s="23">
        <v>43215</v>
      </c>
      <c r="B252" s="23"/>
      <c r="C252" s="28">
        <f>ROUND(13.2275,4)</f>
        <v>13.2275</v>
      </c>
      <c r="D252" s="28">
        <f>F252</f>
        <v>13.8455</v>
      </c>
      <c r="E252" s="28">
        <f>F252</f>
        <v>13.8455</v>
      </c>
      <c r="F252" s="28">
        <f>ROUND(13.8455,4)</f>
        <v>13.8455</v>
      </c>
      <c r="G252" s="25"/>
      <c r="H252" s="26"/>
    </row>
    <row r="253" spans="1:8" ht="12.75" customHeight="1">
      <c r="A253" s="23">
        <v>43231</v>
      </c>
      <c r="B253" s="23"/>
      <c r="C253" s="28">
        <f>ROUND(13.2275,4)</f>
        <v>13.2275</v>
      </c>
      <c r="D253" s="28">
        <f>F253</f>
        <v>13.8789</v>
      </c>
      <c r="E253" s="28">
        <f>F253</f>
        <v>13.8789</v>
      </c>
      <c r="F253" s="28">
        <f>ROUND(13.8789,4)</f>
        <v>13.8789</v>
      </c>
      <c r="G253" s="25"/>
      <c r="H253" s="26"/>
    </row>
    <row r="254" spans="1:8" ht="12.75" customHeight="1">
      <c r="A254" s="23">
        <v>43235</v>
      </c>
      <c r="B254" s="23"/>
      <c r="C254" s="28">
        <f>ROUND(13.2275,4)</f>
        <v>13.2275</v>
      </c>
      <c r="D254" s="28">
        <f>F254</f>
        <v>13.8873</v>
      </c>
      <c r="E254" s="28">
        <f>F254</f>
        <v>13.8873</v>
      </c>
      <c r="F254" s="28">
        <f>ROUND(13.8873,4)</f>
        <v>13.8873</v>
      </c>
      <c r="G254" s="25"/>
      <c r="H254" s="26"/>
    </row>
    <row r="255" spans="1:8" ht="12.75" customHeight="1">
      <c r="A255" s="23">
        <v>43325</v>
      </c>
      <c r="B255" s="23"/>
      <c r="C255" s="28">
        <f>ROUND(13.2275,4)</f>
        <v>13.2275</v>
      </c>
      <c r="D255" s="28">
        <f>F255</f>
        <v>14.0772</v>
      </c>
      <c r="E255" s="28">
        <f>F255</f>
        <v>14.0772</v>
      </c>
      <c r="F255" s="28">
        <f>ROUND(14.0772,4)</f>
        <v>14.0772</v>
      </c>
      <c r="G255" s="25"/>
      <c r="H255" s="26"/>
    </row>
    <row r="256" spans="1:8" ht="12.75" customHeight="1">
      <c r="A256" s="23">
        <v>43417</v>
      </c>
      <c r="B256" s="23"/>
      <c r="C256" s="28">
        <f>ROUND(13.2275,4)</f>
        <v>13.2275</v>
      </c>
      <c r="D256" s="28">
        <f>F256</f>
        <v>14.276</v>
      </c>
      <c r="E256" s="28">
        <f>F256</f>
        <v>14.276</v>
      </c>
      <c r="F256" s="28">
        <f>ROUND(14.276,4)</f>
        <v>14.276</v>
      </c>
      <c r="G256" s="25"/>
      <c r="H256" s="26"/>
    </row>
    <row r="257" spans="1:8" ht="12.75" customHeight="1">
      <c r="A257" s="23">
        <v>43509</v>
      </c>
      <c r="B257" s="23"/>
      <c r="C257" s="28">
        <f>ROUND(13.2275,4)</f>
        <v>13.2275</v>
      </c>
      <c r="D257" s="28">
        <f>F257</f>
        <v>14.4747</v>
      </c>
      <c r="E257" s="28">
        <f>F257</f>
        <v>14.4747</v>
      </c>
      <c r="F257" s="28">
        <f>ROUND(14.4747,4)</f>
        <v>14.4747</v>
      </c>
      <c r="G257" s="25"/>
      <c r="H257" s="26"/>
    </row>
    <row r="258" spans="1:8" ht="12.75" customHeight="1">
      <c r="A258" s="23" t="s">
        <v>62</v>
      </c>
      <c r="B258" s="23"/>
      <c r="C258" s="27"/>
      <c r="D258" s="27"/>
      <c r="E258" s="27"/>
      <c r="F258" s="27"/>
      <c r="G258" s="25"/>
      <c r="H258" s="26"/>
    </row>
    <row r="259" spans="1:8" ht="12.75" customHeight="1">
      <c r="A259" s="23">
        <v>42996</v>
      </c>
      <c r="B259" s="23"/>
      <c r="C259" s="28">
        <f>ROUND(1.1437,4)</f>
        <v>1.1437</v>
      </c>
      <c r="D259" s="28">
        <f>F259</f>
        <v>1.1474</v>
      </c>
      <c r="E259" s="28">
        <f>F259</f>
        <v>1.1474</v>
      </c>
      <c r="F259" s="28">
        <f>ROUND(1.1474,4)</f>
        <v>1.1474</v>
      </c>
      <c r="G259" s="25"/>
      <c r="H259" s="26"/>
    </row>
    <row r="260" spans="1:8" ht="12.75" customHeight="1">
      <c r="A260" s="23">
        <v>43087</v>
      </c>
      <c r="B260" s="23"/>
      <c r="C260" s="28">
        <f>ROUND(1.1437,4)</f>
        <v>1.1437</v>
      </c>
      <c r="D260" s="28">
        <f>F260</f>
        <v>1.153</v>
      </c>
      <c r="E260" s="28">
        <f>F260</f>
        <v>1.153</v>
      </c>
      <c r="F260" s="28">
        <f>ROUND(1.153,4)</f>
        <v>1.153</v>
      </c>
      <c r="G260" s="25"/>
      <c r="H260" s="26"/>
    </row>
    <row r="261" spans="1:8" ht="12.75" customHeight="1">
      <c r="A261" s="23">
        <v>43178</v>
      </c>
      <c r="B261" s="23"/>
      <c r="C261" s="28">
        <f>ROUND(1.1437,4)</f>
        <v>1.1437</v>
      </c>
      <c r="D261" s="28">
        <f>F261</f>
        <v>1.1589</v>
      </c>
      <c r="E261" s="28">
        <f>F261</f>
        <v>1.1589</v>
      </c>
      <c r="F261" s="28">
        <f>ROUND(1.1589,4)</f>
        <v>1.1589</v>
      </c>
      <c r="G261" s="25"/>
      <c r="H261" s="26"/>
    </row>
    <row r="262" spans="1:8" ht="12.75" customHeight="1">
      <c r="A262" s="23">
        <v>43269</v>
      </c>
      <c r="B262" s="23"/>
      <c r="C262" s="28">
        <f>ROUND(1.1437,4)</f>
        <v>1.1437</v>
      </c>
      <c r="D262" s="28">
        <f>F262</f>
        <v>1.1649</v>
      </c>
      <c r="E262" s="28">
        <f>F262</f>
        <v>1.1649</v>
      </c>
      <c r="F262" s="28">
        <f>ROUND(1.1649,4)</f>
        <v>1.1649</v>
      </c>
      <c r="G262" s="25"/>
      <c r="H262" s="26"/>
    </row>
    <row r="263" spans="1:8" ht="12.75" customHeight="1">
      <c r="A263" s="23" t="s">
        <v>63</v>
      </c>
      <c r="B263" s="23"/>
      <c r="C263" s="27"/>
      <c r="D263" s="27"/>
      <c r="E263" s="27"/>
      <c r="F263" s="27"/>
      <c r="G263" s="25"/>
      <c r="H263" s="26"/>
    </row>
    <row r="264" spans="1:8" ht="12.75" customHeight="1">
      <c r="A264" s="23">
        <v>42996</v>
      </c>
      <c r="B264" s="23"/>
      <c r="C264" s="28">
        <f>ROUND(1.2898,4)</f>
        <v>1.2898</v>
      </c>
      <c r="D264" s="28">
        <f>F264</f>
        <v>1.2923</v>
      </c>
      <c r="E264" s="28">
        <f>F264</f>
        <v>1.2923</v>
      </c>
      <c r="F264" s="28">
        <f>ROUND(1.2923,4)</f>
        <v>1.2923</v>
      </c>
      <c r="G264" s="25"/>
      <c r="H264" s="26"/>
    </row>
    <row r="265" spans="1:8" ht="12.75" customHeight="1">
      <c r="A265" s="23">
        <v>43087</v>
      </c>
      <c r="B265" s="23"/>
      <c r="C265" s="28">
        <f>ROUND(1.2898,4)</f>
        <v>1.2898</v>
      </c>
      <c r="D265" s="28">
        <f>F265</f>
        <v>1.2958</v>
      </c>
      <c r="E265" s="28">
        <f>F265</f>
        <v>1.2958</v>
      </c>
      <c r="F265" s="28">
        <f>ROUND(1.2958,4)</f>
        <v>1.2958</v>
      </c>
      <c r="G265" s="25"/>
      <c r="H265" s="26"/>
    </row>
    <row r="266" spans="1:8" ht="12.75" customHeight="1">
      <c r="A266" s="23">
        <v>43178</v>
      </c>
      <c r="B266" s="23"/>
      <c r="C266" s="28">
        <f>ROUND(1.2898,4)</f>
        <v>1.2898</v>
      </c>
      <c r="D266" s="28">
        <f>F266</f>
        <v>1.2994</v>
      </c>
      <c r="E266" s="28">
        <f>F266</f>
        <v>1.2994</v>
      </c>
      <c r="F266" s="28">
        <f>ROUND(1.2994,4)</f>
        <v>1.2994</v>
      </c>
      <c r="G266" s="25"/>
      <c r="H266" s="26"/>
    </row>
    <row r="267" spans="1:8" ht="12.75" customHeight="1">
      <c r="A267" s="23">
        <v>43269</v>
      </c>
      <c r="B267" s="23"/>
      <c r="C267" s="28">
        <f>ROUND(1.2898,4)</f>
        <v>1.2898</v>
      </c>
      <c r="D267" s="28">
        <f>F267</f>
        <v>1.303</v>
      </c>
      <c r="E267" s="28">
        <f>F267</f>
        <v>1.303</v>
      </c>
      <c r="F267" s="28">
        <f>ROUND(1.303,4)</f>
        <v>1.303</v>
      </c>
      <c r="G267" s="25"/>
      <c r="H267" s="26"/>
    </row>
    <row r="268" spans="1:8" ht="12.75" customHeight="1">
      <c r="A268" s="23" t="s">
        <v>64</v>
      </c>
      <c r="B268" s="23"/>
      <c r="C268" s="27"/>
      <c r="D268" s="27"/>
      <c r="E268" s="27"/>
      <c r="F268" s="27"/>
      <c r="G268" s="25"/>
      <c r="H268" s="26"/>
    </row>
    <row r="269" spans="1:8" ht="12.75" customHeight="1">
      <c r="A269" s="23">
        <v>42996</v>
      </c>
      <c r="B269" s="23"/>
      <c r="C269" s="28">
        <f>ROUND(10.179884,4)</f>
        <v>10.1799</v>
      </c>
      <c r="D269" s="28">
        <f>F269</f>
        <v>10.2806</v>
      </c>
      <c r="E269" s="28">
        <f>F269</f>
        <v>10.2806</v>
      </c>
      <c r="F269" s="28">
        <f>ROUND(10.2806,4)</f>
        <v>10.2806</v>
      </c>
      <c r="G269" s="25"/>
      <c r="H269" s="26"/>
    </row>
    <row r="270" spans="1:8" ht="12.75" customHeight="1">
      <c r="A270" s="23">
        <v>43087</v>
      </c>
      <c r="B270" s="23"/>
      <c r="C270" s="28">
        <f>ROUND(10.179884,4)</f>
        <v>10.1799</v>
      </c>
      <c r="D270" s="28">
        <f>F270</f>
        <v>10.4225</v>
      </c>
      <c r="E270" s="28">
        <f>F270</f>
        <v>10.4225</v>
      </c>
      <c r="F270" s="28">
        <f>ROUND(10.4225,4)</f>
        <v>10.4225</v>
      </c>
      <c r="G270" s="25"/>
      <c r="H270" s="26"/>
    </row>
    <row r="271" spans="1:8" ht="12.75" customHeight="1">
      <c r="A271" s="23">
        <v>43178</v>
      </c>
      <c r="B271" s="23"/>
      <c r="C271" s="28">
        <f>ROUND(10.179884,4)</f>
        <v>10.1799</v>
      </c>
      <c r="D271" s="28">
        <f>F271</f>
        <v>10.562</v>
      </c>
      <c r="E271" s="28">
        <f>F271</f>
        <v>10.562</v>
      </c>
      <c r="F271" s="28">
        <f>ROUND(10.562,4)</f>
        <v>10.562</v>
      </c>
      <c r="G271" s="25"/>
      <c r="H271" s="26"/>
    </row>
    <row r="272" spans="1:8" ht="12.75" customHeight="1">
      <c r="A272" s="23">
        <v>43269</v>
      </c>
      <c r="B272" s="23"/>
      <c r="C272" s="28">
        <f>ROUND(10.179884,4)</f>
        <v>10.1799</v>
      </c>
      <c r="D272" s="28">
        <f>F272</f>
        <v>10.6969</v>
      </c>
      <c r="E272" s="28">
        <f>F272</f>
        <v>10.6969</v>
      </c>
      <c r="F272" s="28">
        <f>ROUND(10.6969,4)</f>
        <v>10.6969</v>
      </c>
      <c r="G272" s="25"/>
      <c r="H272" s="26"/>
    </row>
    <row r="273" spans="1:8" ht="12.75" customHeight="1">
      <c r="A273" s="23">
        <v>43360</v>
      </c>
      <c r="B273" s="23"/>
      <c r="C273" s="28">
        <f>ROUND(10.179884,4)</f>
        <v>10.1799</v>
      </c>
      <c r="D273" s="28">
        <f>F273</f>
        <v>10.8338</v>
      </c>
      <c r="E273" s="28">
        <f>F273</f>
        <v>10.8338</v>
      </c>
      <c r="F273" s="28">
        <f>ROUND(10.8338,4)</f>
        <v>10.8338</v>
      </c>
      <c r="G273" s="25"/>
      <c r="H273" s="26"/>
    </row>
    <row r="274" spans="1:8" ht="12.75" customHeight="1">
      <c r="A274" s="23">
        <v>43448</v>
      </c>
      <c r="B274" s="23"/>
      <c r="C274" s="28">
        <f>ROUND(10.179884,4)</f>
        <v>10.1799</v>
      </c>
      <c r="D274" s="28">
        <f>F274</f>
        <v>10.9673</v>
      </c>
      <c r="E274" s="28">
        <f>F274</f>
        <v>10.9673</v>
      </c>
      <c r="F274" s="28">
        <f>ROUND(10.9673,4)</f>
        <v>10.9673</v>
      </c>
      <c r="G274" s="25"/>
      <c r="H274" s="26"/>
    </row>
    <row r="275" spans="1:8" ht="12.75" customHeight="1">
      <c r="A275" s="23">
        <v>43542</v>
      </c>
      <c r="B275" s="23"/>
      <c r="C275" s="28">
        <f>ROUND(10.179884,4)</f>
        <v>10.1799</v>
      </c>
      <c r="D275" s="28">
        <f>F275</f>
        <v>11.1082</v>
      </c>
      <c r="E275" s="28">
        <f>F275</f>
        <v>11.1082</v>
      </c>
      <c r="F275" s="28">
        <f>ROUND(11.1082,4)</f>
        <v>11.1082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42996</v>
      </c>
      <c r="B277" s="23"/>
      <c r="C277" s="28">
        <f>ROUND(3.6012796079499,4)</f>
        <v>3.6013</v>
      </c>
      <c r="D277" s="28">
        <f>F277</f>
        <v>3.9603</v>
      </c>
      <c r="E277" s="28">
        <f>F277</f>
        <v>3.9603</v>
      </c>
      <c r="F277" s="28">
        <f>ROUND(3.9603,4)</f>
        <v>3.9603</v>
      </c>
      <c r="G277" s="25"/>
      <c r="H277" s="26"/>
    </row>
    <row r="278" spans="1:8" ht="12.75" customHeight="1">
      <c r="A278" s="23">
        <v>43087</v>
      </c>
      <c r="B278" s="23"/>
      <c r="C278" s="28">
        <f>ROUND(3.6012796079499,4)</f>
        <v>3.6013</v>
      </c>
      <c r="D278" s="28">
        <f>F278</f>
        <v>4.012</v>
      </c>
      <c r="E278" s="28">
        <f>F278</f>
        <v>4.012</v>
      </c>
      <c r="F278" s="28">
        <f>ROUND(4.012,4)</f>
        <v>4.012</v>
      </c>
      <c r="G278" s="25"/>
      <c r="H278" s="26"/>
    </row>
    <row r="279" spans="1:8" ht="12.75" customHeight="1">
      <c r="A279" s="23">
        <v>43178</v>
      </c>
      <c r="B279" s="23"/>
      <c r="C279" s="28">
        <f>ROUND(3.6012796079499,4)</f>
        <v>3.6013</v>
      </c>
      <c r="D279" s="28">
        <f>F279</f>
        <v>4.0712</v>
      </c>
      <c r="E279" s="28">
        <f>F279</f>
        <v>4.0712</v>
      </c>
      <c r="F279" s="28">
        <f>ROUND(4.0712,4)</f>
        <v>4.0712</v>
      </c>
      <c r="G279" s="25"/>
      <c r="H279" s="26"/>
    </row>
    <row r="280" spans="1:8" ht="12.75" customHeight="1">
      <c r="A280" s="23" t="s">
        <v>66</v>
      </c>
      <c r="B280" s="23"/>
      <c r="C280" s="27"/>
      <c r="D280" s="27"/>
      <c r="E280" s="27"/>
      <c r="F280" s="27"/>
      <c r="G280" s="25"/>
      <c r="H280" s="26"/>
    </row>
    <row r="281" spans="1:8" ht="12.75" customHeight="1">
      <c r="A281" s="23">
        <v>42996</v>
      </c>
      <c r="B281" s="23"/>
      <c r="C281" s="28">
        <f>ROUND(1.28174475,4)</f>
        <v>1.2817</v>
      </c>
      <c r="D281" s="28">
        <f>F281</f>
        <v>1.2925</v>
      </c>
      <c r="E281" s="28">
        <f>F281</f>
        <v>1.2925</v>
      </c>
      <c r="F281" s="28">
        <f>ROUND(1.2925,4)</f>
        <v>1.2925</v>
      </c>
      <c r="G281" s="25"/>
      <c r="H281" s="26"/>
    </row>
    <row r="282" spans="1:8" ht="12.75" customHeight="1">
      <c r="A282" s="23">
        <v>43087</v>
      </c>
      <c r="B282" s="23"/>
      <c r="C282" s="28">
        <f>ROUND(1.28174475,4)</f>
        <v>1.2817</v>
      </c>
      <c r="D282" s="28">
        <f>F282</f>
        <v>1.3077</v>
      </c>
      <c r="E282" s="28">
        <f>F282</f>
        <v>1.3077</v>
      </c>
      <c r="F282" s="28">
        <f>ROUND(1.3077,4)</f>
        <v>1.3077</v>
      </c>
      <c r="G282" s="25"/>
      <c r="H282" s="26"/>
    </row>
    <row r="283" spans="1:8" ht="12.75" customHeight="1">
      <c r="A283" s="23">
        <v>43178</v>
      </c>
      <c r="B283" s="23"/>
      <c r="C283" s="28">
        <f>ROUND(1.28174475,4)</f>
        <v>1.2817</v>
      </c>
      <c r="D283" s="28">
        <f>F283</f>
        <v>1.3243</v>
      </c>
      <c r="E283" s="28">
        <f>F283</f>
        <v>1.3243</v>
      </c>
      <c r="F283" s="28">
        <f>ROUND(1.3243,4)</f>
        <v>1.3243</v>
      </c>
      <c r="G283" s="25"/>
      <c r="H283" s="26"/>
    </row>
    <row r="284" spans="1:8" ht="12.75" customHeight="1">
      <c r="A284" s="23">
        <v>43269</v>
      </c>
      <c r="B284" s="23"/>
      <c r="C284" s="28">
        <f>ROUND(1.28174475,4)</f>
        <v>1.2817</v>
      </c>
      <c r="D284" s="28">
        <f>F284</f>
        <v>1.3406</v>
      </c>
      <c r="E284" s="28">
        <f>F284</f>
        <v>1.3406</v>
      </c>
      <c r="F284" s="28">
        <f>ROUND(1.3406,4)</f>
        <v>1.3406</v>
      </c>
      <c r="G284" s="25"/>
      <c r="H284" s="26"/>
    </row>
    <row r="285" spans="1:8" ht="12.75" customHeight="1">
      <c r="A285" s="23" t="s">
        <v>67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42996</v>
      </c>
      <c r="B286" s="23"/>
      <c r="C286" s="28">
        <f>ROUND(10.3785798352295,4)</f>
        <v>10.3786</v>
      </c>
      <c r="D286" s="28">
        <f>F286</f>
        <v>10.4993</v>
      </c>
      <c r="E286" s="28">
        <f>F286</f>
        <v>10.4993</v>
      </c>
      <c r="F286" s="28">
        <f>ROUND(10.4993,4)</f>
        <v>10.4993</v>
      </c>
      <c r="G286" s="25"/>
      <c r="H286" s="26"/>
    </row>
    <row r="287" spans="1:8" ht="12.75" customHeight="1">
      <c r="A287" s="23">
        <v>43087</v>
      </c>
      <c r="B287" s="23"/>
      <c r="C287" s="28">
        <f>ROUND(10.3785798352295,4)</f>
        <v>10.3786</v>
      </c>
      <c r="D287" s="28">
        <f>F287</f>
        <v>10.6657</v>
      </c>
      <c r="E287" s="28">
        <f>F287</f>
        <v>10.6657</v>
      </c>
      <c r="F287" s="28">
        <f>ROUND(10.6657,4)</f>
        <v>10.6657</v>
      </c>
      <c r="G287" s="25"/>
      <c r="H287" s="26"/>
    </row>
    <row r="288" spans="1:8" ht="12.75" customHeight="1">
      <c r="A288" s="23">
        <v>43178</v>
      </c>
      <c r="B288" s="23"/>
      <c r="C288" s="28">
        <f>ROUND(10.3785798352295,4)</f>
        <v>10.3786</v>
      </c>
      <c r="D288" s="28">
        <f>F288</f>
        <v>10.8269</v>
      </c>
      <c r="E288" s="28">
        <f>F288</f>
        <v>10.8269</v>
      </c>
      <c r="F288" s="28">
        <f>ROUND(10.8269,4)</f>
        <v>10.8269</v>
      </c>
      <c r="G288" s="25"/>
      <c r="H288" s="26"/>
    </row>
    <row r="289" spans="1:8" ht="12.75" customHeight="1">
      <c r="A289" s="23">
        <v>43269</v>
      </c>
      <c r="B289" s="23"/>
      <c r="C289" s="28">
        <f>ROUND(10.3785798352295,4)</f>
        <v>10.3786</v>
      </c>
      <c r="D289" s="28">
        <f>F289</f>
        <v>10.9826</v>
      </c>
      <c r="E289" s="28">
        <f>F289</f>
        <v>10.9826</v>
      </c>
      <c r="F289" s="28">
        <f>ROUND(10.9826,4)</f>
        <v>10.9826</v>
      </c>
      <c r="G289" s="25"/>
      <c r="H289" s="26"/>
    </row>
    <row r="290" spans="1:8" ht="12.75" customHeight="1">
      <c r="A290" s="23" t="s">
        <v>68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42996</v>
      </c>
      <c r="B291" s="23"/>
      <c r="C291" s="28">
        <f>ROUND(1.97257181639789,4)</f>
        <v>1.9726</v>
      </c>
      <c r="D291" s="28">
        <f>F291</f>
        <v>1.9647</v>
      </c>
      <c r="E291" s="28">
        <f>F291</f>
        <v>1.9647</v>
      </c>
      <c r="F291" s="28">
        <f>ROUND(1.9647,4)</f>
        <v>1.9647</v>
      </c>
      <c r="G291" s="25"/>
      <c r="H291" s="26"/>
    </row>
    <row r="292" spans="1:8" ht="12.75" customHeight="1">
      <c r="A292" s="23">
        <v>43087</v>
      </c>
      <c r="B292" s="23"/>
      <c r="C292" s="28">
        <f>ROUND(1.97257181639789,4)</f>
        <v>1.9726</v>
      </c>
      <c r="D292" s="28">
        <f>F292</f>
        <v>1.9835</v>
      </c>
      <c r="E292" s="28">
        <f>F292</f>
        <v>1.9835</v>
      </c>
      <c r="F292" s="28">
        <f>ROUND(1.9835,4)</f>
        <v>1.9835</v>
      </c>
      <c r="G292" s="25"/>
      <c r="H292" s="26"/>
    </row>
    <row r="293" spans="1:8" ht="12.75" customHeight="1">
      <c r="A293" s="23">
        <v>43178</v>
      </c>
      <c r="B293" s="23"/>
      <c r="C293" s="28">
        <f>ROUND(1.97257181639789,4)</f>
        <v>1.9726</v>
      </c>
      <c r="D293" s="28">
        <f>F293</f>
        <v>2.0015</v>
      </c>
      <c r="E293" s="28">
        <f>F293</f>
        <v>2.0015</v>
      </c>
      <c r="F293" s="28">
        <f>ROUND(2.0015,4)</f>
        <v>2.0015</v>
      </c>
      <c r="G293" s="25"/>
      <c r="H293" s="26"/>
    </row>
    <row r="294" spans="1:8" ht="12.75" customHeight="1">
      <c r="A294" s="23">
        <v>43269</v>
      </c>
      <c r="B294" s="23"/>
      <c r="C294" s="28">
        <f>ROUND(1.97257181639789,4)</f>
        <v>1.9726</v>
      </c>
      <c r="D294" s="28">
        <f>F294</f>
        <v>2.0185</v>
      </c>
      <c r="E294" s="28">
        <f>F294</f>
        <v>2.0185</v>
      </c>
      <c r="F294" s="28">
        <f>ROUND(2.0185,4)</f>
        <v>2.0185</v>
      </c>
      <c r="G294" s="25"/>
      <c r="H294" s="26"/>
    </row>
    <row r="295" spans="1:8" ht="12.75" customHeight="1">
      <c r="A295" s="23" t="s">
        <v>69</v>
      </c>
      <c r="B295" s="23"/>
      <c r="C295" s="27"/>
      <c r="D295" s="27"/>
      <c r="E295" s="27"/>
      <c r="F295" s="27"/>
      <c r="G295" s="25"/>
      <c r="H295" s="26"/>
    </row>
    <row r="296" spans="1:8" ht="12.75" customHeight="1">
      <c r="A296" s="23">
        <v>42996</v>
      </c>
      <c r="B296" s="23"/>
      <c r="C296" s="28">
        <f>ROUND(2.03412376207172,4)</f>
        <v>2.0341</v>
      </c>
      <c r="D296" s="28">
        <f>F296</f>
        <v>2.0754</v>
      </c>
      <c r="E296" s="28">
        <f>F296</f>
        <v>2.0754</v>
      </c>
      <c r="F296" s="28">
        <f>ROUND(2.0754,4)</f>
        <v>2.0754</v>
      </c>
      <c r="G296" s="25"/>
      <c r="H296" s="26"/>
    </row>
    <row r="297" spans="1:8" ht="12.75" customHeight="1">
      <c r="A297" s="23">
        <v>43087</v>
      </c>
      <c r="B297" s="23"/>
      <c r="C297" s="28">
        <f>ROUND(2.03412376207172,4)</f>
        <v>2.0341</v>
      </c>
      <c r="D297" s="28">
        <f>F297</f>
        <v>2.1178</v>
      </c>
      <c r="E297" s="28">
        <f>F297</f>
        <v>2.1178</v>
      </c>
      <c r="F297" s="28">
        <f>ROUND(2.1178,4)</f>
        <v>2.1178</v>
      </c>
      <c r="G297" s="25"/>
      <c r="H297" s="26"/>
    </row>
    <row r="298" spans="1:8" ht="12.75" customHeight="1">
      <c r="A298" s="23">
        <v>43178</v>
      </c>
      <c r="B298" s="23"/>
      <c r="C298" s="28">
        <f>ROUND(2.03412376207172,4)</f>
        <v>2.0341</v>
      </c>
      <c r="D298" s="28">
        <f>F298</f>
        <v>2.1605</v>
      </c>
      <c r="E298" s="28">
        <f>F298</f>
        <v>2.1605</v>
      </c>
      <c r="F298" s="28">
        <f>ROUND(2.1605,4)</f>
        <v>2.1605</v>
      </c>
      <c r="G298" s="25"/>
      <c r="H298" s="26"/>
    </row>
    <row r="299" spans="1:8" ht="12.75" customHeight="1">
      <c r="A299" s="23">
        <v>43269</v>
      </c>
      <c r="B299" s="23"/>
      <c r="C299" s="28">
        <f>ROUND(2.03412376207172,4)</f>
        <v>2.0341</v>
      </c>
      <c r="D299" s="28">
        <f>F299</f>
        <v>2.1986</v>
      </c>
      <c r="E299" s="28">
        <f>F299</f>
        <v>2.1986</v>
      </c>
      <c r="F299" s="28">
        <f>ROUND(2.1986,4)</f>
        <v>2.1986</v>
      </c>
      <c r="G299" s="25"/>
      <c r="H299" s="26"/>
    </row>
    <row r="300" spans="1:8" ht="12.75" customHeight="1">
      <c r="A300" s="23" t="s">
        <v>70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42996</v>
      </c>
      <c r="B301" s="23"/>
      <c r="C301" s="28">
        <f>ROUND(15.12829175,4)</f>
        <v>15.1283</v>
      </c>
      <c r="D301" s="28">
        <f>F301</f>
        <v>15.34</v>
      </c>
      <c r="E301" s="28">
        <f>F301</f>
        <v>15.34</v>
      </c>
      <c r="F301" s="28">
        <f>ROUND(15.34,4)</f>
        <v>15.34</v>
      </c>
      <c r="G301" s="25"/>
      <c r="H301" s="26"/>
    </row>
    <row r="302" spans="1:8" ht="12.75" customHeight="1">
      <c r="A302" s="23">
        <v>43087</v>
      </c>
      <c r="B302" s="23"/>
      <c r="C302" s="28">
        <f>ROUND(15.12829175,4)</f>
        <v>15.1283</v>
      </c>
      <c r="D302" s="28">
        <f>F302</f>
        <v>15.6462</v>
      </c>
      <c r="E302" s="28">
        <f>F302</f>
        <v>15.6462</v>
      </c>
      <c r="F302" s="28">
        <f>ROUND(15.6462,4)</f>
        <v>15.6462</v>
      </c>
      <c r="G302" s="25"/>
      <c r="H302" s="26"/>
    </row>
    <row r="303" spans="1:8" ht="12.75" customHeight="1">
      <c r="A303" s="23">
        <v>43178</v>
      </c>
      <c r="B303" s="23"/>
      <c r="C303" s="28">
        <f>ROUND(15.12829175,4)</f>
        <v>15.1283</v>
      </c>
      <c r="D303" s="28">
        <f>F303</f>
        <v>15.9547</v>
      </c>
      <c r="E303" s="28">
        <f>F303</f>
        <v>15.9547</v>
      </c>
      <c r="F303" s="28">
        <f>ROUND(15.9547,4)</f>
        <v>15.9547</v>
      </c>
      <c r="G303" s="25"/>
      <c r="H303" s="26"/>
    </row>
    <row r="304" spans="1:8" ht="12.75" customHeight="1">
      <c r="A304" s="23">
        <v>43269</v>
      </c>
      <c r="B304" s="23"/>
      <c r="C304" s="28">
        <f>ROUND(15.12829175,4)</f>
        <v>15.1283</v>
      </c>
      <c r="D304" s="28">
        <f>F304</f>
        <v>16.2605</v>
      </c>
      <c r="E304" s="28">
        <f>F304</f>
        <v>16.2605</v>
      </c>
      <c r="F304" s="28">
        <f>ROUND(16.2605,4)</f>
        <v>16.2605</v>
      </c>
      <c r="G304" s="25"/>
      <c r="H304" s="26"/>
    </row>
    <row r="305" spans="1:8" ht="12.75" customHeight="1">
      <c r="A305" s="23">
        <v>43360</v>
      </c>
      <c r="B305" s="23"/>
      <c r="C305" s="28">
        <f>ROUND(15.12829175,4)</f>
        <v>15.1283</v>
      </c>
      <c r="D305" s="28">
        <f>F305</f>
        <v>16.5461</v>
      </c>
      <c r="E305" s="28">
        <f>F305</f>
        <v>16.5461</v>
      </c>
      <c r="F305" s="28">
        <f>ROUND(16.5461,4)</f>
        <v>16.5461</v>
      </c>
      <c r="G305" s="25"/>
      <c r="H305" s="26"/>
    </row>
    <row r="306" spans="1:8" ht="12.75" customHeight="1">
      <c r="A306" s="23">
        <v>43448</v>
      </c>
      <c r="B306" s="23"/>
      <c r="C306" s="28">
        <f>ROUND(15.12829175,4)</f>
        <v>15.1283</v>
      </c>
      <c r="D306" s="28">
        <f>F306</f>
        <v>16.8678</v>
      </c>
      <c r="E306" s="28">
        <f>F306</f>
        <v>16.8678</v>
      </c>
      <c r="F306" s="28">
        <f>ROUND(16.8678,4)</f>
        <v>16.8678</v>
      </c>
      <c r="G306" s="25"/>
      <c r="H306" s="26"/>
    </row>
    <row r="307" spans="1:8" ht="12.75" customHeight="1">
      <c r="A307" s="23">
        <v>43542</v>
      </c>
      <c r="B307" s="23"/>
      <c r="C307" s="28">
        <f>ROUND(15.12829175,4)</f>
        <v>15.1283</v>
      </c>
      <c r="D307" s="28">
        <f>F307</f>
        <v>17.2461</v>
      </c>
      <c r="E307" s="28">
        <f>F307</f>
        <v>17.2461</v>
      </c>
      <c r="F307" s="28">
        <f>ROUND(17.2461,4)</f>
        <v>17.2461</v>
      </c>
      <c r="G307" s="25"/>
      <c r="H307" s="26"/>
    </row>
    <row r="308" spans="1:8" ht="12.75" customHeight="1">
      <c r="A308" s="23" t="s">
        <v>71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42996</v>
      </c>
      <c r="B309" s="23"/>
      <c r="C309" s="28">
        <f>ROUND(13.7285936689154,4)</f>
        <v>13.7286</v>
      </c>
      <c r="D309" s="28">
        <f>F309</f>
        <v>13.93</v>
      </c>
      <c r="E309" s="28">
        <f>F309</f>
        <v>13.93</v>
      </c>
      <c r="F309" s="28">
        <f>ROUND(13.93,4)</f>
        <v>13.93</v>
      </c>
      <c r="G309" s="25"/>
      <c r="H309" s="26"/>
    </row>
    <row r="310" spans="1:8" ht="12.75" customHeight="1">
      <c r="A310" s="23">
        <v>43087</v>
      </c>
      <c r="B310" s="23"/>
      <c r="C310" s="28">
        <f>ROUND(13.7285936689154,4)</f>
        <v>13.7286</v>
      </c>
      <c r="D310" s="28">
        <f>F310</f>
        <v>14.2227</v>
      </c>
      <c r="E310" s="28">
        <f>F310</f>
        <v>14.2227</v>
      </c>
      <c r="F310" s="28">
        <f>ROUND(14.2227,4)</f>
        <v>14.2227</v>
      </c>
      <c r="G310" s="25"/>
      <c r="H310" s="26"/>
    </row>
    <row r="311" spans="1:8" ht="12.75" customHeight="1">
      <c r="A311" s="23">
        <v>43178</v>
      </c>
      <c r="B311" s="23"/>
      <c r="C311" s="28">
        <f>ROUND(13.7285936689154,4)</f>
        <v>13.7286</v>
      </c>
      <c r="D311" s="28">
        <f>F311</f>
        <v>14.5202</v>
      </c>
      <c r="E311" s="28">
        <f>F311</f>
        <v>14.5202</v>
      </c>
      <c r="F311" s="28">
        <f>ROUND(14.5202,4)</f>
        <v>14.5202</v>
      </c>
      <c r="G311" s="25"/>
      <c r="H311" s="26"/>
    </row>
    <row r="312" spans="1:8" ht="12.75" customHeight="1">
      <c r="A312" s="23">
        <v>43269</v>
      </c>
      <c r="B312" s="23"/>
      <c r="C312" s="28">
        <f>ROUND(13.7285936689154,4)</f>
        <v>13.7286</v>
      </c>
      <c r="D312" s="28">
        <f>F312</f>
        <v>14.8163</v>
      </c>
      <c r="E312" s="28">
        <f>F312</f>
        <v>14.8163</v>
      </c>
      <c r="F312" s="28">
        <f>ROUND(14.8163,4)</f>
        <v>14.8163</v>
      </c>
      <c r="G312" s="25"/>
      <c r="H312" s="26"/>
    </row>
    <row r="313" spans="1:8" ht="12.75" customHeight="1">
      <c r="A313" s="23">
        <v>43360</v>
      </c>
      <c r="B313" s="23"/>
      <c r="C313" s="28">
        <f>ROUND(13.7285936689154,4)</f>
        <v>13.7286</v>
      </c>
      <c r="D313" s="28">
        <f>F313</f>
        <v>15.087</v>
      </c>
      <c r="E313" s="28">
        <f>F313</f>
        <v>15.087</v>
      </c>
      <c r="F313" s="28">
        <f>ROUND(15.087,4)</f>
        <v>15.087</v>
      </c>
      <c r="G313" s="25"/>
      <c r="H313" s="26"/>
    </row>
    <row r="314" spans="1:8" ht="12.75" customHeight="1">
      <c r="A314" s="23" t="s">
        <v>72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42996</v>
      </c>
      <c r="B315" s="23"/>
      <c r="C315" s="28">
        <f>ROUND(17.0608295,4)</f>
        <v>17.0608</v>
      </c>
      <c r="D315" s="28">
        <f>F315</f>
        <v>17.2777</v>
      </c>
      <c r="E315" s="28">
        <f>F315</f>
        <v>17.2777</v>
      </c>
      <c r="F315" s="28">
        <f>ROUND(17.2777,4)</f>
        <v>17.2777</v>
      </c>
      <c r="G315" s="25"/>
      <c r="H315" s="26"/>
    </row>
    <row r="316" spans="1:8" ht="12.75" customHeight="1">
      <c r="A316" s="23">
        <v>43087</v>
      </c>
      <c r="B316" s="23"/>
      <c r="C316" s="28">
        <f>ROUND(17.0608295,4)</f>
        <v>17.0608</v>
      </c>
      <c r="D316" s="28">
        <f>F316</f>
        <v>17.5847</v>
      </c>
      <c r="E316" s="28">
        <f>F316</f>
        <v>17.5847</v>
      </c>
      <c r="F316" s="28">
        <f>ROUND(17.5847,4)</f>
        <v>17.5847</v>
      </c>
      <c r="G316" s="25"/>
      <c r="H316" s="26"/>
    </row>
    <row r="317" spans="1:8" ht="12.75" customHeight="1">
      <c r="A317" s="23">
        <v>43178</v>
      </c>
      <c r="B317" s="23"/>
      <c r="C317" s="28">
        <f>ROUND(17.0608295,4)</f>
        <v>17.0608</v>
      </c>
      <c r="D317" s="28">
        <f>F317</f>
        <v>17.8884</v>
      </c>
      <c r="E317" s="28">
        <f>F317</f>
        <v>17.8884</v>
      </c>
      <c r="F317" s="28">
        <f>ROUND(17.8884,4)</f>
        <v>17.8884</v>
      </c>
      <c r="G317" s="25"/>
      <c r="H317" s="26"/>
    </row>
    <row r="318" spans="1:8" ht="12.75" customHeight="1">
      <c r="A318" s="23">
        <v>43269</v>
      </c>
      <c r="B318" s="23"/>
      <c r="C318" s="28">
        <f>ROUND(17.0608295,4)</f>
        <v>17.0608</v>
      </c>
      <c r="D318" s="28">
        <f>F318</f>
        <v>18.187</v>
      </c>
      <c r="E318" s="28">
        <f>F318</f>
        <v>18.187</v>
      </c>
      <c r="F318" s="28">
        <f>ROUND(18.187,4)</f>
        <v>18.187</v>
      </c>
      <c r="G318" s="25"/>
      <c r="H318" s="26"/>
    </row>
    <row r="319" spans="1:8" ht="12.75" customHeight="1">
      <c r="A319" s="23">
        <v>43360</v>
      </c>
      <c r="B319" s="23"/>
      <c r="C319" s="28">
        <f>ROUND(17.0608295,4)</f>
        <v>17.0608</v>
      </c>
      <c r="D319" s="28">
        <f>F319</f>
        <v>18.4942</v>
      </c>
      <c r="E319" s="28">
        <f>F319</f>
        <v>18.4942</v>
      </c>
      <c r="F319" s="28">
        <f>ROUND(18.4942,4)</f>
        <v>18.4942</v>
      </c>
      <c r="G319" s="25"/>
      <c r="H319" s="26"/>
    </row>
    <row r="320" spans="1:8" ht="12.75" customHeight="1">
      <c r="A320" s="23">
        <v>43448</v>
      </c>
      <c r="B320" s="23"/>
      <c r="C320" s="28">
        <f>ROUND(17.0608295,4)</f>
        <v>17.0608</v>
      </c>
      <c r="D320" s="28">
        <f>F320</f>
        <v>18.7943</v>
      </c>
      <c r="E320" s="28">
        <f>F320</f>
        <v>18.7943</v>
      </c>
      <c r="F320" s="28">
        <f>ROUND(18.7943,4)</f>
        <v>18.7943</v>
      </c>
      <c r="G320" s="25"/>
      <c r="H320" s="26"/>
    </row>
    <row r="321" spans="1:8" ht="12.75" customHeight="1">
      <c r="A321" s="23">
        <v>43542</v>
      </c>
      <c r="B321" s="23"/>
      <c r="C321" s="28">
        <f>ROUND(17.0608295,4)</f>
        <v>17.0608</v>
      </c>
      <c r="D321" s="28">
        <f>F321</f>
        <v>18.8501</v>
      </c>
      <c r="E321" s="28">
        <f>F321</f>
        <v>18.8501</v>
      </c>
      <c r="F321" s="28">
        <f>ROUND(18.8501,4)</f>
        <v>18.8501</v>
      </c>
      <c r="G321" s="25"/>
      <c r="H321" s="26"/>
    </row>
    <row r="322" spans="1:8" ht="12.75" customHeight="1">
      <c r="A322" s="23" t="s">
        <v>73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42996</v>
      </c>
      <c r="B323" s="23"/>
      <c r="C323" s="28">
        <f>ROUND(1.69390054937315,4)</f>
        <v>1.6939</v>
      </c>
      <c r="D323" s="28">
        <f>F323</f>
        <v>1.7153</v>
      </c>
      <c r="E323" s="28">
        <f>F323</f>
        <v>1.7153</v>
      </c>
      <c r="F323" s="28">
        <f>ROUND(1.7153,4)</f>
        <v>1.7153</v>
      </c>
      <c r="G323" s="25"/>
      <c r="H323" s="26"/>
    </row>
    <row r="324" spans="1:8" ht="12.75" customHeight="1">
      <c r="A324" s="23">
        <v>43087</v>
      </c>
      <c r="B324" s="23"/>
      <c r="C324" s="28">
        <f>ROUND(1.69390054937315,4)</f>
        <v>1.6939</v>
      </c>
      <c r="D324" s="28">
        <f>F324</f>
        <v>1.7449</v>
      </c>
      <c r="E324" s="28">
        <f>F324</f>
        <v>1.7449</v>
      </c>
      <c r="F324" s="28">
        <f>ROUND(1.7449,4)</f>
        <v>1.7449</v>
      </c>
      <c r="G324" s="25"/>
      <c r="H324" s="26"/>
    </row>
    <row r="325" spans="1:8" ht="12.75" customHeight="1">
      <c r="A325" s="23">
        <v>43178</v>
      </c>
      <c r="B325" s="23"/>
      <c r="C325" s="28">
        <f>ROUND(1.69390054937315,4)</f>
        <v>1.6939</v>
      </c>
      <c r="D325" s="28">
        <f>F325</f>
        <v>1.7729</v>
      </c>
      <c r="E325" s="28">
        <f>F325</f>
        <v>1.7729</v>
      </c>
      <c r="F325" s="28">
        <f>ROUND(1.7729,4)</f>
        <v>1.7729</v>
      </c>
      <c r="G325" s="25"/>
      <c r="H325" s="26"/>
    </row>
    <row r="326" spans="1:8" ht="12.75" customHeight="1">
      <c r="A326" s="23">
        <v>43269</v>
      </c>
      <c r="B326" s="23"/>
      <c r="C326" s="28">
        <f>ROUND(1.69390054937315,4)</f>
        <v>1.6939</v>
      </c>
      <c r="D326" s="28">
        <f>F326</f>
        <v>1.7992</v>
      </c>
      <c r="E326" s="28">
        <f>F326</f>
        <v>1.7992</v>
      </c>
      <c r="F326" s="28">
        <f>ROUND(1.7992,4)</f>
        <v>1.7992</v>
      </c>
      <c r="G326" s="25"/>
      <c r="H326" s="26"/>
    </row>
    <row r="327" spans="1:8" ht="12.75" customHeight="1">
      <c r="A327" s="23" t="s">
        <v>74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42996</v>
      </c>
      <c r="B328" s="23"/>
      <c r="C328" s="30">
        <f>ROUND(0.116990226860655,6)</f>
        <v>0.11699</v>
      </c>
      <c r="D328" s="30">
        <f>F328</f>
        <v>0.118558</v>
      </c>
      <c r="E328" s="30">
        <f>F328</f>
        <v>0.118558</v>
      </c>
      <c r="F328" s="30">
        <f>ROUND(0.118558,6)</f>
        <v>0.118558</v>
      </c>
      <c r="G328" s="25"/>
      <c r="H328" s="26"/>
    </row>
    <row r="329" spans="1:8" ht="12.75" customHeight="1">
      <c r="A329" s="23">
        <v>43087</v>
      </c>
      <c r="B329" s="23"/>
      <c r="C329" s="30">
        <f>ROUND(0.116990226860655,6)</f>
        <v>0.11699</v>
      </c>
      <c r="D329" s="30">
        <f>F329</f>
        <v>0.12086</v>
      </c>
      <c r="E329" s="30">
        <f>F329</f>
        <v>0.12086</v>
      </c>
      <c r="F329" s="30">
        <f>ROUND(0.12086,6)</f>
        <v>0.12086</v>
      </c>
      <c r="G329" s="25"/>
      <c r="H329" s="26"/>
    </row>
    <row r="330" spans="1:8" ht="12.75" customHeight="1">
      <c r="A330" s="23">
        <v>43178</v>
      </c>
      <c r="B330" s="23"/>
      <c r="C330" s="30">
        <f>ROUND(0.116990226860655,6)</f>
        <v>0.11699</v>
      </c>
      <c r="D330" s="30">
        <f>F330</f>
        <v>0.123211</v>
      </c>
      <c r="E330" s="30">
        <f>F330</f>
        <v>0.123211</v>
      </c>
      <c r="F330" s="30">
        <f>ROUND(0.123211,6)</f>
        <v>0.123211</v>
      </c>
      <c r="G330" s="25"/>
      <c r="H330" s="26"/>
    </row>
    <row r="331" spans="1:8" ht="12.75" customHeight="1">
      <c r="A331" s="23">
        <v>43269</v>
      </c>
      <c r="B331" s="23"/>
      <c r="C331" s="30">
        <f>ROUND(0.116990226860655,6)</f>
        <v>0.11699</v>
      </c>
      <c r="D331" s="30">
        <f>F331</f>
        <v>0.125548</v>
      </c>
      <c r="E331" s="30">
        <f>F331</f>
        <v>0.125548</v>
      </c>
      <c r="F331" s="30">
        <f>ROUND(0.125548,6)</f>
        <v>0.125548</v>
      </c>
      <c r="G331" s="25"/>
      <c r="H331" s="26"/>
    </row>
    <row r="332" spans="1:8" ht="12.75" customHeight="1">
      <c r="A332" s="23">
        <v>43360</v>
      </c>
      <c r="B332" s="23"/>
      <c r="C332" s="30">
        <f>ROUND(0.116990226860655,6)</f>
        <v>0.11699</v>
      </c>
      <c r="D332" s="30">
        <f>F332</f>
        <v>0.127984</v>
      </c>
      <c r="E332" s="30">
        <f>F332</f>
        <v>0.127984</v>
      </c>
      <c r="F332" s="30">
        <f>ROUND(0.127984,6)</f>
        <v>0.127984</v>
      </c>
      <c r="G332" s="25"/>
      <c r="H332" s="26"/>
    </row>
    <row r="333" spans="1:8" ht="12.75" customHeight="1">
      <c r="A333" s="23" t="s">
        <v>75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42996</v>
      </c>
      <c r="B334" s="23"/>
      <c r="C334" s="28">
        <f>ROUND(0.127316040232927,4)</f>
        <v>0.1273</v>
      </c>
      <c r="D334" s="28">
        <f>F334</f>
        <v>0.1274</v>
      </c>
      <c r="E334" s="28">
        <f>F334</f>
        <v>0.1274</v>
      </c>
      <c r="F334" s="28">
        <f>ROUND(0.1274,4)</f>
        <v>0.1274</v>
      </c>
      <c r="G334" s="25"/>
      <c r="H334" s="26"/>
    </row>
    <row r="335" spans="1:8" ht="12.75" customHeight="1">
      <c r="A335" s="23">
        <v>43087</v>
      </c>
      <c r="B335" s="23"/>
      <c r="C335" s="28">
        <f>ROUND(0.127316040232927,4)</f>
        <v>0.1273</v>
      </c>
      <c r="D335" s="28">
        <f>F335</f>
        <v>0.1267</v>
      </c>
      <c r="E335" s="28">
        <f>F335</f>
        <v>0.1267</v>
      </c>
      <c r="F335" s="28">
        <f>ROUND(0.1267,4)</f>
        <v>0.1267</v>
      </c>
      <c r="G335" s="25"/>
      <c r="H335" s="26"/>
    </row>
    <row r="336" spans="1:8" ht="12.75" customHeight="1">
      <c r="A336" s="23">
        <v>43178</v>
      </c>
      <c r="B336" s="23"/>
      <c r="C336" s="28">
        <f>ROUND(0.127316040232927,4)</f>
        <v>0.1273</v>
      </c>
      <c r="D336" s="28">
        <f>F336</f>
        <v>0.1262</v>
      </c>
      <c r="E336" s="28">
        <f>F336</f>
        <v>0.1262</v>
      </c>
      <c r="F336" s="28">
        <f>ROUND(0.1262,4)</f>
        <v>0.1262</v>
      </c>
      <c r="G336" s="25"/>
      <c r="H336" s="26"/>
    </row>
    <row r="337" spans="1:8" ht="12.75" customHeight="1">
      <c r="A337" s="23">
        <v>43269</v>
      </c>
      <c r="B337" s="23"/>
      <c r="C337" s="28">
        <f>ROUND(0.127316040232927,4)</f>
        <v>0.1273</v>
      </c>
      <c r="D337" s="28">
        <f>F337</f>
        <v>0.1245</v>
      </c>
      <c r="E337" s="28">
        <f>F337</f>
        <v>0.1245</v>
      </c>
      <c r="F337" s="28">
        <f>ROUND(0.1245,4)</f>
        <v>0.1245</v>
      </c>
      <c r="G337" s="25"/>
      <c r="H337" s="26"/>
    </row>
    <row r="338" spans="1:8" ht="12.75" customHeight="1">
      <c r="A338" s="23">
        <v>43360</v>
      </c>
      <c r="B338" s="23"/>
      <c r="C338" s="28">
        <f>ROUND(0.127316040232927,4)</f>
        <v>0.1273</v>
      </c>
      <c r="D338" s="28">
        <f>F338</f>
        <v>0.1225</v>
      </c>
      <c r="E338" s="28">
        <f>F338</f>
        <v>0.1225</v>
      </c>
      <c r="F338" s="28">
        <f>ROUND(0.1225,4)</f>
        <v>0.1225</v>
      </c>
      <c r="G338" s="25"/>
      <c r="H338" s="26"/>
    </row>
    <row r="339" spans="1:8" ht="12.75" customHeight="1">
      <c r="A339" s="23" t="s">
        <v>76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42996</v>
      </c>
      <c r="B340" s="23"/>
      <c r="C340" s="28">
        <f>ROUND(1.60011371059444,4)</f>
        <v>1.6001</v>
      </c>
      <c r="D340" s="28">
        <f>F340</f>
        <v>1.6224</v>
      </c>
      <c r="E340" s="28">
        <f>F340</f>
        <v>1.6224</v>
      </c>
      <c r="F340" s="28">
        <f>ROUND(1.6224,4)</f>
        <v>1.6224</v>
      </c>
      <c r="G340" s="25"/>
      <c r="H340" s="26"/>
    </row>
    <row r="341" spans="1:8" ht="12.75" customHeight="1">
      <c r="A341" s="23">
        <v>43087</v>
      </c>
      <c r="B341" s="23"/>
      <c r="C341" s="28">
        <f>ROUND(1.60011371059444,4)</f>
        <v>1.6001</v>
      </c>
      <c r="D341" s="28">
        <f>F341</f>
        <v>1.6497</v>
      </c>
      <c r="E341" s="28">
        <f>F341</f>
        <v>1.6497</v>
      </c>
      <c r="F341" s="28">
        <f>ROUND(1.6497,4)</f>
        <v>1.6497</v>
      </c>
      <c r="G341" s="25"/>
      <c r="H341" s="26"/>
    </row>
    <row r="342" spans="1:8" ht="12.75" customHeight="1">
      <c r="A342" s="23">
        <v>43178</v>
      </c>
      <c r="B342" s="23"/>
      <c r="C342" s="28">
        <f>ROUND(1.60011371059444,4)</f>
        <v>1.6001</v>
      </c>
      <c r="D342" s="28">
        <f>F342</f>
        <v>1.6771</v>
      </c>
      <c r="E342" s="28">
        <f>F342</f>
        <v>1.6771</v>
      </c>
      <c r="F342" s="28">
        <f>ROUND(1.6771,4)</f>
        <v>1.6771</v>
      </c>
      <c r="G342" s="25"/>
      <c r="H342" s="26"/>
    </row>
    <row r="343" spans="1:8" ht="12.75" customHeight="1">
      <c r="A343" s="23">
        <v>43269</v>
      </c>
      <c r="B343" s="23"/>
      <c r="C343" s="28">
        <f>ROUND(1.60011371059444,4)</f>
        <v>1.6001</v>
      </c>
      <c r="D343" s="28">
        <f>F343</f>
        <v>1.7023</v>
      </c>
      <c r="E343" s="28">
        <f>F343</f>
        <v>1.7023</v>
      </c>
      <c r="F343" s="28">
        <f>ROUND(1.7023,4)</f>
        <v>1.7023</v>
      </c>
      <c r="G343" s="25"/>
      <c r="H343" s="26"/>
    </row>
    <row r="344" spans="1:8" ht="12.75" customHeight="1">
      <c r="A344" s="23" t="s">
        <v>77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42996</v>
      </c>
      <c r="B345" s="23"/>
      <c r="C345" s="28">
        <f>ROUND(0.0892261001517451,4)</f>
        <v>0.0892</v>
      </c>
      <c r="D345" s="28">
        <f>F345</f>
        <v>0.0383</v>
      </c>
      <c r="E345" s="28">
        <f>F345</f>
        <v>0.0383</v>
      </c>
      <c r="F345" s="28">
        <f>ROUND(0.0383,4)</f>
        <v>0.0383</v>
      </c>
      <c r="G345" s="25"/>
      <c r="H345" s="26"/>
    </row>
    <row r="346" spans="1:8" ht="12.75" customHeight="1">
      <c r="A346" s="23" t="s">
        <v>78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42996</v>
      </c>
      <c r="B347" s="23"/>
      <c r="C347" s="28">
        <f>ROUND(9.6375565,4)</f>
        <v>9.6376</v>
      </c>
      <c r="D347" s="28">
        <f>F347</f>
        <v>9.7303</v>
      </c>
      <c r="E347" s="28">
        <f>F347</f>
        <v>9.7303</v>
      </c>
      <c r="F347" s="28">
        <f>ROUND(9.7303,4)</f>
        <v>9.7303</v>
      </c>
      <c r="G347" s="25"/>
      <c r="H347" s="26"/>
    </row>
    <row r="348" spans="1:8" ht="12.75" customHeight="1">
      <c r="A348" s="23">
        <v>43087</v>
      </c>
      <c r="B348" s="23"/>
      <c r="C348" s="28">
        <f>ROUND(9.6375565,4)</f>
        <v>9.6376</v>
      </c>
      <c r="D348" s="28">
        <f>F348</f>
        <v>9.8595</v>
      </c>
      <c r="E348" s="28">
        <f>F348</f>
        <v>9.8595</v>
      </c>
      <c r="F348" s="28">
        <f>ROUND(9.8595,4)</f>
        <v>9.8595</v>
      </c>
      <c r="G348" s="25"/>
      <c r="H348" s="26"/>
    </row>
    <row r="349" spans="1:8" ht="12.75" customHeight="1">
      <c r="A349" s="23">
        <v>43178</v>
      </c>
      <c r="B349" s="23"/>
      <c r="C349" s="28">
        <f>ROUND(9.6375565,4)</f>
        <v>9.6376</v>
      </c>
      <c r="D349" s="28">
        <f>F349</f>
        <v>9.9853</v>
      </c>
      <c r="E349" s="28">
        <f>F349</f>
        <v>9.9853</v>
      </c>
      <c r="F349" s="28">
        <f>ROUND(9.9853,4)</f>
        <v>9.9853</v>
      </c>
      <c r="G349" s="25"/>
      <c r="H349" s="26"/>
    </row>
    <row r="350" spans="1:8" ht="12.75" customHeight="1">
      <c r="A350" s="23">
        <v>43269</v>
      </c>
      <c r="B350" s="23"/>
      <c r="C350" s="28">
        <f>ROUND(9.6375565,4)</f>
        <v>9.6376</v>
      </c>
      <c r="D350" s="28">
        <f>F350</f>
        <v>10.1063</v>
      </c>
      <c r="E350" s="28">
        <f>F350</f>
        <v>10.1063</v>
      </c>
      <c r="F350" s="28">
        <f>ROUND(10.1063,4)</f>
        <v>10.1063</v>
      </c>
      <c r="G350" s="25"/>
      <c r="H350" s="26"/>
    </row>
    <row r="351" spans="1:8" ht="12.75" customHeight="1">
      <c r="A351" s="23" t="s">
        <v>79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42996</v>
      </c>
      <c r="B352" s="23"/>
      <c r="C352" s="28">
        <f>ROUND(9.60742300987798,4)</f>
        <v>9.6074</v>
      </c>
      <c r="D352" s="28">
        <f>F352</f>
        <v>9.7181</v>
      </c>
      <c r="E352" s="28">
        <f>F352</f>
        <v>9.7181</v>
      </c>
      <c r="F352" s="28">
        <f>ROUND(9.7181,4)</f>
        <v>9.7181</v>
      </c>
      <c r="G352" s="25"/>
      <c r="H352" s="26"/>
    </row>
    <row r="353" spans="1:8" ht="12.75" customHeight="1">
      <c r="A353" s="23">
        <v>43087</v>
      </c>
      <c r="B353" s="23"/>
      <c r="C353" s="28">
        <f>ROUND(9.60742300987798,4)</f>
        <v>9.6074</v>
      </c>
      <c r="D353" s="28">
        <f>F353</f>
        <v>9.8761</v>
      </c>
      <c r="E353" s="28">
        <f>F353</f>
        <v>9.8761</v>
      </c>
      <c r="F353" s="28">
        <f>ROUND(9.8761,4)</f>
        <v>9.8761</v>
      </c>
      <c r="G353" s="25"/>
      <c r="H353" s="26"/>
    </row>
    <row r="354" spans="1:8" ht="12.75" customHeight="1">
      <c r="A354" s="23">
        <v>43178</v>
      </c>
      <c r="B354" s="23"/>
      <c r="C354" s="28">
        <f>ROUND(9.60742300987798,4)</f>
        <v>9.6074</v>
      </c>
      <c r="D354" s="28">
        <f>F354</f>
        <v>10.0272</v>
      </c>
      <c r="E354" s="28">
        <f>F354</f>
        <v>10.0272</v>
      </c>
      <c r="F354" s="28">
        <f>ROUND(10.0272,4)</f>
        <v>10.0272</v>
      </c>
      <c r="G354" s="25"/>
      <c r="H354" s="26"/>
    </row>
    <row r="355" spans="1:8" ht="12.75" customHeight="1">
      <c r="A355" s="23">
        <v>43269</v>
      </c>
      <c r="B355" s="23"/>
      <c r="C355" s="28">
        <f>ROUND(9.60742300987798,4)</f>
        <v>9.6074</v>
      </c>
      <c r="D355" s="28">
        <f>F355</f>
        <v>10.1842</v>
      </c>
      <c r="E355" s="28">
        <f>F355</f>
        <v>10.1842</v>
      </c>
      <c r="F355" s="28">
        <f>ROUND(10.1842,4)</f>
        <v>10.1842</v>
      </c>
      <c r="G355" s="25"/>
      <c r="H355" s="26"/>
    </row>
    <row r="356" spans="1:8" ht="12.75" customHeight="1">
      <c r="A356" s="23" t="s">
        <v>80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42996</v>
      </c>
      <c r="B357" s="23"/>
      <c r="C357" s="28">
        <f>ROUND(3.7107950401167,4)</f>
        <v>3.7108</v>
      </c>
      <c r="D357" s="28">
        <f>F357</f>
        <v>3.6852</v>
      </c>
      <c r="E357" s="28">
        <f>F357</f>
        <v>3.6852</v>
      </c>
      <c r="F357" s="28">
        <f>ROUND(3.6852,4)</f>
        <v>3.6852</v>
      </c>
      <c r="G357" s="25"/>
      <c r="H357" s="26"/>
    </row>
    <row r="358" spans="1:8" ht="12.75" customHeight="1">
      <c r="A358" s="23">
        <v>43087</v>
      </c>
      <c r="B358" s="23"/>
      <c r="C358" s="28">
        <f>ROUND(3.7107950401167,4)</f>
        <v>3.7108</v>
      </c>
      <c r="D358" s="28">
        <f>F358</f>
        <v>3.6488</v>
      </c>
      <c r="E358" s="28">
        <f>F358</f>
        <v>3.6488</v>
      </c>
      <c r="F358" s="28">
        <f>ROUND(3.6488,4)</f>
        <v>3.6488</v>
      </c>
      <c r="G358" s="25"/>
      <c r="H358" s="26"/>
    </row>
    <row r="359" spans="1:8" ht="12.75" customHeight="1">
      <c r="A359" s="23">
        <v>43178</v>
      </c>
      <c r="B359" s="23"/>
      <c r="C359" s="28">
        <f>ROUND(3.7107950401167,4)</f>
        <v>3.7108</v>
      </c>
      <c r="D359" s="28">
        <f>F359</f>
        <v>3.616</v>
      </c>
      <c r="E359" s="28">
        <f>F359</f>
        <v>3.616</v>
      </c>
      <c r="F359" s="28">
        <f>ROUND(3.616,4)</f>
        <v>3.616</v>
      </c>
      <c r="G359" s="25"/>
      <c r="H359" s="26"/>
    </row>
    <row r="360" spans="1:8" ht="12.75" customHeight="1">
      <c r="A360" s="23">
        <v>43269</v>
      </c>
      <c r="B360" s="23"/>
      <c r="C360" s="28">
        <f>ROUND(3.7107950401167,4)</f>
        <v>3.7108</v>
      </c>
      <c r="D360" s="28">
        <f>F360</f>
        <v>3.584</v>
      </c>
      <c r="E360" s="28">
        <f>F360</f>
        <v>3.584</v>
      </c>
      <c r="F360" s="28">
        <f>ROUND(3.584,4)</f>
        <v>3.584</v>
      </c>
      <c r="G360" s="25"/>
      <c r="H360" s="26"/>
    </row>
    <row r="361" spans="1:8" ht="12.75" customHeight="1">
      <c r="A361" s="23" t="s">
        <v>81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42996</v>
      </c>
      <c r="B362" s="23"/>
      <c r="C362" s="28">
        <f>ROUND(13.2275,4)</f>
        <v>13.2275</v>
      </c>
      <c r="D362" s="28">
        <f>F362</f>
        <v>13.3695</v>
      </c>
      <c r="E362" s="28">
        <f>F362</f>
        <v>13.3695</v>
      </c>
      <c r="F362" s="28">
        <f>ROUND(13.3695,4)</f>
        <v>13.3695</v>
      </c>
      <c r="G362" s="25"/>
      <c r="H362" s="26"/>
    </row>
    <row r="363" spans="1:8" ht="12.75" customHeight="1">
      <c r="A363" s="23">
        <v>43087</v>
      </c>
      <c r="B363" s="23"/>
      <c r="C363" s="28">
        <f>ROUND(13.2275,4)</f>
        <v>13.2275</v>
      </c>
      <c r="D363" s="28">
        <f>F363</f>
        <v>13.5702</v>
      </c>
      <c r="E363" s="28">
        <f>F363</f>
        <v>13.5702</v>
      </c>
      <c r="F363" s="28">
        <f>ROUND(13.5702,4)</f>
        <v>13.5702</v>
      </c>
      <c r="G363" s="25"/>
      <c r="H363" s="26"/>
    </row>
    <row r="364" spans="1:8" ht="12.75" customHeight="1">
      <c r="A364" s="23">
        <v>43178</v>
      </c>
      <c r="B364" s="23"/>
      <c r="C364" s="28">
        <f>ROUND(13.2275,4)</f>
        <v>13.2275</v>
      </c>
      <c r="D364" s="28">
        <f>F364</f>
        <v>13.7666</v>
      </c>
      <c r="E364" s="28">
        <f>F364</f>
        <v>13.7666</v>
      </c>
      <c r="F364" s="28">
        <f>ROUND(13.7666,4)</f>
        <v>13.7666</v>
      </c>
      <c r="G364" s="25"/>
      <c r="H364" s="26"/>
    </row>
    <row r="365" spans="1:8" ht="12.75" customHeight="1">
      <c r="A365" s="23">
        <v>43269</v>
      </c>
      <c r="B365" s="23"/>
      <c r="C365" s="28">
        <f>ROUND(13.2275,4)</f>
        <v>13.2275</v>
      </c>
      <c r="D365" s="28">
        <f>F365</f>
        <v>13.9583</v>
      </c>
      <c r="E365" s="28">
        <f>F365</f>
        <v>13.9583</v>
      </c>
      <c r="F365" s="28">
        <f>ROUND(13.9583,4)</f>
        <v>13.9583</v>
      </c>
      <c r="G365" s="25"/>
      <c r="H365" s="26"/>
    </row>
    <row r="366" spans="1:8" ht="12.75" customHeight="1">
      <c r="A366" s="23">
        <v>43360</v>
      </c>
      <c r="B366" s="23"/>
      <c r="C366" s="28">
        <f>ROUND(13.2275,4)</f>
        <v>13.2275</v>
      </c>
      <c r="D366" s="28">
        <f>F366</f>
        <v>14.1528</v>
      </c>
      <c r="E366" s="28">
        <f>F366</f>
        <v>14.1528</v>
      </c>
      <c r="F366" s="28">
        <f>ROUND(14.1528,4)</f>
        <v>14.1528</v>
      </c>
      <c r="G366" s="25"/>
      <c r="H366" s="26"/>
    </row>
    <row r="367" spans="1:8" ht="12.75" customHeight="1">
      <c r="A367" s="23" t="s">
        <v>82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42996</v>
      </c>
      <c r="B368" s="23"/>
      <c r="C368" s="28">
        <f>ROUND(13.2275,4)</f>
        <v>13.2275</v>
      </c>
      <c r="D368" s="28">
        <f>F368</f>
        <v>13.3695</v>
      </c>
      <c r="E368" s="28">
        <f>F368</f>
        <v>13.3695</v>
      </c>
      <c r="F368" s="28">
        <f>ROUND(13.3695,4)</f>
        <v>13.3695</v>
      </c>
      <c r="G368" s="25"/>
      <c r="H368" s="26"/>
    </row>
    <row r="369" spans="1:8" ht="12.75" customHeight="1">
      <c r="A369" s="23">
        <v>43087</v>
      </c>
      <c r="B369" s="23"/>
      <c r="C369" s="28">
        <f>ROUND(13.2275,4)</f>
        <v>13.2275</v>
      </c>
      <c r="D369" s="28">
        <f>F369</f>
        <v>13.5702</v>
      </c>
      <c r="E369" s="28">
        <f>F369</f>
        <v>13.5702</v>
      </c>
      <c r="F369" s="28">
        <f>ROUND(13.5702,4)</f>
        <v>13.5702</v>
      </c>
      <c r="G369" s="25"/>
      <c r="H369" s="26"/>
    </row>
    <row r="370" spans="1:8" ht="12.75" customHeight="1">
      <c r="A370" s="23">
        <v>43175</v>
      </c>
      <c r="B370" s="23"/>
      <c r="C370" s="28">
        <f>ROUND(13.2275,4)</f>
        <v>13.2275</v>
      </c>
      <c r="D370" s="28">
        <f>F370</f>
        <v>17.5004</v>
      </c>
      <c r="E370" s="28">
        <f>F370</f>
        <v>17.5004</v>
      </c>
      <c r="F370" s="28">
        <f>ROUND(17.5004,4)</f>
        <v>17.5004</v>
      </c>
      <c r="G370" s="25"/>
      <c r="H370" s="26"/>
    </row>
    <row r="371" spans="1:8" ht="12.75" customHeight="1">
      <c r="A371" s="23">
        <v>43178</v>
      </c>
      <c r="B371" s="23"/>
      <c r="C371" s="28">
        <f>ROUND(13.2275,4)</f>
        <v>13.2275</v>
      </c>
      <c r="D371" s="28">
        <f>F371</f>
        <v>13.7666</v>
      </c>
      <c r="E371" s="28">
        <f>F371</f>
        <v>13.7666</v>
      </c>
      <c r="F371" s="28">
        <f>ROUND(13.7666,4)</f>
        <v>13.7666</v>
      </c>
      <c r="G371" s="25"/>
      <c r="H371" s="26"/>
    </row>
    <row r="372" spans="1:8" ht="12.75" customHeight="1">
      <c r="A372" s="23">
        <v>43269</v>
      </c>
      <c r="B372" s="23"/>
      <c r="C372" s="28">
        <f>ROUND(13.2275,4)</f>
        <v>13.2275</v>
      </c>
      <c r="D372" s="28">
        <f>F372</f>
        <v>13.9583</v>
      </c>
      <c r="E372" s="28">
        <f>F372</f>
        <v>13.9583</v>
      </c>
      <c r="F372" s="28">
        <f>ROUND(13.9583,4)</f>
        <v>13.9583</v>
      </c>
      <c r="G372" s="25"/>
      <c r="H372" s="26"/>
    </row>
    <row r="373" spans="1:8" ht="12.75" customHeight="1">
      <c r="A373" s="23">
        <v>43360</v>
      </c>
      <c r="B373" s="23"/>
      <c r="C373" s="28">
        <f>ROUND(13.2275,4)</f>
        <v>13.2275</v>
      </c>
      <c r="D373" s="28">
        <f>F373</f>
        <v>14.1528</v>
      </c>
      <c r="E373" s="28">
        <f>F373</f>
        <v>14.1528</v>
      </c>
      <c r="F373" s="28">
        <f>ROUND(14.1528,4)</f>
        <v>14.1528</v>
      </c>
      <c r="G373" s="25"/>
      <c r="H373" s="26"/>
    </row>
    <row r="374" spans="1:8" ht="12.75" customHeight="1">
      <c r="A374" s="23">
        <v>43448</v>
      </c>
      <c r="B374" s="23"/>
      <c r="C374" s="28">
        <f>ROUND(13.2275,4)</f>
        <v>13.2275</v>
      </c>
      <c r="D374" s="28">
        <f>F374</f>
        <v>14.3429</v>
      </c>
      <c r="E374" s="28">
        <f>F374</f>
        <v>14.3429</v>
      </c>
      <c r="F374" s="28">
        <f>ROUND(14.3429,4)</f>
        <v>14.3429</v>
      </c>
      <c r="G374" s="25"/>
      <c r="H374" s="26"/>
    </row>
    <row r="375" spans="1:8" ht="12.75" customHeight="1">
      <c r="A375" s="23">
        <v>43542</v>
      </c>
      <c r="B375" s="23"/>
      <c r="C375" s="28">
        <f>ROUND(13.2275,4)</f>
        <v>13.2275</v>
      </c>
      <c r="D375" s="28">
        <f>F375</f>
        <v>14.5461</v>
      </c>
      <c r="E375" s="28">
        <f>F375</f>
        <v>14.5461</v>
      </c>
      <c r="F375" s="28">
        <f>ROUND(14.5461,4)</f>
        <v>14.5461</v>
      </c>
      <c r="G375" s="25"/>
      <c r="H375" s="26"/>
    </row>
    <row r="376" spans="1:8" ht="12.75" customHeight="1">
      <c r="A376" s="23">
        <v>43630</v>
      </c>
      <c r="B376" s="23"/>
      <c r="C376" s="28">
        <f>ROUND(13.2275,4)</f>
        <v>13.2275</v>
      </c>
      <c r="D376" s="28">
        <f>F376</f>
        <v>14.7362</v>
      </c>
      <c r="E376" s="28">
        <f>F376</f>
        <v>14.7362</v>
      </c>
      <c r="F376" s="28">
        <f>ROUND(14.7362,4)</f>
        <v>14.7362</v>
      </c>
      <c r="G376" s="25"/>
      <c r="H376" s="26"/>
    </row>
    <row r="377" spans="1:8" ht="12.75" customHeight="1">
      <c r="A377" s="23">
        <v>43724</v>
      </c>
      <c r="B377" s="23"/>
      <c r="C377" s="28">
        <f>ROUND(13.2275,4)</f>
        <v>13.2275</v>
      </c>
      <c r="D377" s="28">
        <f>F377</f>
        <v>14.9536</v>
      </c>
      <c r="E377" s="28">
        <f>F377</f>
        <v>14.9536</v>
      </c>
      <c r="F377" s="28">
        <f>ROUND(14.9536,4)</f>
        <v>14.9536</v>
      </c>
      <c r="G377" s="25"/>
      <c r="H377" s="26"/>
    </row>
    <row r="378" spans="1:8" ht="12.75" customHeight="1">
      <c r="A378" s="23">
        <v>43812</v>
      </c>
      <c r="B378" s="23"/>
      <c r="C378" s="28">
        <f>ROUND(13.2275,4)</f>
        <v>13.2275</v>
      </c>
      <c r="D378" s="28">
        <f>F378</f>
        <v>15.1643</v>
      </c>
      <c r="E378" s="28">
        <f>F378</f>
        <v>15.1643</v>
      </c>
      <c r="F378" s="28">
        <f>ROUND(15.1643,4)</f>
        <v>15.1643</v>
      </c>
      <c r="G378" s="25"/>
      <c r="H378" s="26"/>
    </row>
    <row r="379" spans="1:8" ht="12.75" customHeight="1">
      <c r="A379" s="23">
        <v>43906</v>
      </c>
      <c r="B379" s="23"/>
      <c r="C379" s="28">
        <f>ROUND(13.2275,4)</f>
        <v>13.2275</v>
      </c>
      <c r="D379" s="28">
        <f>F379</f>
        <v>15.3894</v>
      </c>
      <c r="E379" s="28">
        <f>F379</f>
        <v>15.3894</v>
      </c>
      <c r="F379" s="28">
        <f>ROUND(15.3894,4)</f>
        <v>15.3894</v>
      </c>
      <c r="G379" s="25"/>
      <c r="H379" s="26"/>
    </row>
    <row r="380" spans="1:8" ht="12.75" customHeight="1">
      <c r="A380" s="23">
        <v>43994</v>
      </c>
      <c r="B380" s="23"/>
      <c r="C380" s="28">
        <f>ROUND(13.2275,4)</f>
        <v>13.2275</v>
      </c>
      <c r="D380" s="28">
        <f>F380</f>
        <v>15.6002</v>
      </c>
      <c r="E380" s="28">
        <f>F380</f>
        <v>15.6002</v>
      </c>
      <c r="F380" s="28">
        <f>ROUND(15.6002,4)</f>
        <v>15.6002</v>
      </c>
      <c r="G380" s="25"/>
      <c r="H380" s="26"/>
    </row>
    <row r="381" spans="1:8" ht="12.75" customHeight="1">
      <c r="A381" s="23">
        <v>44088</v>
      </c>
      <c r="B381" s="23"/>
      <c r="C381" s="28">
        <f>ROUND(13.2275,4)</f>
        <v>13.2275</v>
      </c>
      <c r="D381" s="28">
        <f>F381</f>
        <v>15.8253</v>
      </c>
      <c r="E381" s="28">
        <f>F381</f>
        <v>15.8253</v>
      </c>
      <c r="F381" s="28">
        <f>ROUND(15.8253,4)</f>
        <v>15.8253</v>
      </c>
      <c r="G381" s="25"/>
      <c r="H381" s="26"/>
    </row>
    <row r="382" spans="1:8" ht="12.75" customHeight="1">
      <c r="A382" s="23" t="s">
        <v>83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42996</v>
      </c>
      <c r="B383" s="23"/>
      <c r="C383" s="28">
        <f>ROUND(1.47991720742895,4)</f>
        <v>1.4799</v>
      </c>
      <c r="D383" s="28">
        <f>F383</f>
        <v>1.4634</v>
      </c>
      <c r="E383" s="28">
        <f>F383</f>
        <v>1.4634</v>
      </c>
      <c r="F383" s="28">
        <f>ROUND(1.4634,4)</f>
        <v>1.4634</v>
      </c>
      <c r="G383" s="25"/>
      <c r="H383" s="26"/>
    </row>
    <row r="384" spans="1:8" ht="12.75" customHeight="1">
      <c r="A384" s="23">
        <v>43087</v>
      </c>
      <c r="B384" s="23"/>
      <c r="C384" s="28">
        <f>ROUND(1.47991720742895,4)</f>
        <v>1.4799</v>
      </c>
      <c r="D384" s="28">
        <f>F384</f>
        <v>1.439</v>
      </c>
      <c r="E384" s="28">
        <f>F384</f>
        <v>1.439</v>
      </c>
      <c r="F384" s="28">
        <f>ROUND(1.439,4)</f>
        <v>1.439</v>
      </c>
      <c r="G384" s="25"/>
      <c r="H384" s="26"/>
    </row>
    <row r="385" spans="1:8" ht="12.75" customHeight="1">
      <c r="A385" s="23">
        <v>43178</v>
      </c>
      <c r="B385" s="23"/>
      <c r="C385" s="28">
        <f>ROUND(1.47991720742895,4)</f>
        <v>1.4799</v>
      </c>
      <c r="D385" s="28">
        <f>F385</f>
        <v>1.4219</v>
      </c>
      <c r="E385" s="28">
        <f>F385</f>
        <v>1.4219</v>
      </c>
      <c r="F385" s="28">
        <f>ROUND(1.4219,4)</f>
        <v>1.4219</v>
      </c>
      <c r="G385" s="25"/>
      <c r="H385" s="26"/>
    </row>
    <row r="386" spans="1:8" ht="12.75" customHeight="1">
      <c r="A386" s="23">
        <v>43269</v>
      </c>
      <c r="B386" s="23"/>
      <c r="C386" s="28">
        <f>ROUND(1.47991720742895,4)</f>
        <v>1.4799</v>
      </c>
      <c r="D386" s="28">
        <f>F386</f>
        <v>1.4005</v>
      </c>
      <c r="E386" s="28">
        <f>F386</f>
        <v>1.4005</v>
      </c>
      <c r="F386" s="28">
        <f>ROUND(1.4005,4)</f>
        <v>1.4005</v>
      </c>
      <c r="G386" s="25"/>
      <c r="H386" s="26"/>
    </row>
    <row r="387" spans="1:8" ht="12.75" customHeight="1">
      <c r="A387" s="23" t="s">
        <v>84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42950</v>
      </c>
      <c r="B388" s="23"/>
      <c r="C388" s="29">
        <f>ROUND(605.321,3)</f>
        <v>605.321</v>
      </c>
      <c r="D388" s="29">
        <f>F388</f>
        <v>607.916</v>
      </c>
      <c r="E388" s="29">
        <f>F388</f>
        <v>607.916</v>
      </c>
      <c r="F388" s="29">
        <f>ROUND(607.916,3)</f>
        <v>607.916</v>
      </c>
      <c r="G388" s="25"/>
      <c r="H388" s="26"/>
    </row>
    <row r="389" spans="1:8" ht="12.75" customHeight="1">
      <c r="A389" s="23">
        <v>43041</v>
      </c>
      <c r="B389" s="23"/>
      <c r="C389" s="29">
        <f>ROUND(605.321,3)</f>
        <v>605.321</v>
      </c>
      <c r="D389" s="29">
        <f>F389</f>
        <v>619.512</v>
      </c>
      <c r="E389" s="29">
        <f>F389</f>
        <v>619.512</v>
      </c>
      <c r="F389" s="29">
        <f>ROUND(619.512,3)</f>
        <v>619.512</v>
      </c>
      <c r="G389" s="25"/>
      <c r="H389" s="26"/>
    </row>
    <row r="390" spans="1:8" ht="12.75" customHeight="1">
      <c r="A390" s="23">
        <v>43132</v>
      </c>
      <c r="B390" s="23"/>
      <c r="C390" s="29">
        <f>ROUND(605.321,3)</f>
        <v>605.321</v>
      </c>
      <c r="D390" s="29">
        <f>F390</f>
        <v>631.513</v>
      </c>
      <c r="E390" s="29">
        <f>F390</f>
        <v>631.513</v>
      </c>
      <c r="F390" s="29">
        <f>ROUND(631.513,3)</f>
        <v>631.513</v>
      </c>
      <c r="G390" s="25"/>
      <c r="H390" s="26"/>
    </row>
    <row r="391" spans="1:8" ht="12.75" customHeight="1">
      <c r="A391" s="23">
        <v>43223</v>
      </c>
      <c r="B391" s="23"/>
      <c r="C391" s="29">
        <f>ROUND(605.321,3)</f>
        <v>605.321</v>
      </c>
      <c r="D391" s="29">
        <f>F391</f>
        <v>643.834</v>
      </c>
      <c r="E391" s="29">
        <f>F391</f>
        <v>643.834</v>
      </c>
      <c r="F391" s="29">
        <f>ROUND(643.834,3)</f>
        <v>643.834</v>
      </c>
      <c r="G391" s="25"/>
      <c r="H391" s="26"/>
    </row>
    <row r="392" spans="1:8" ht="12.75" customHeight="1">
      <c r="A392" s="23" t="s">
        <v>85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42950</v>
      </c>
      <c r="B393" s="23"/>
      <c r="C393" s="29">
        <f>ROUND(539.965,3)</f>
        <v>539.965</v>
      </c>
      <c r="D393" s="29">
        <f>F393</f>
        <v>542.28</v>
      </c>
      <c r="E393" s="29">
        <f>F393</f>
        <v>542.28</v>
      </c>
      <c r="F393" s="29">
        <f>ROUND(542.28,3)</f>
        <v>542.28</v>
      </c>
      <c r="G393" s="25"/>
      <c r="H393" s="26"/>
    </row>
    <row r="394" spans="1:8" ht="12.75" customHeight="1">
      <c r="A394" s="23">
        <v>43041</v>
      </c>
      <c r="B394" s="23"/>
      <c r="C394" s="29">
        <f>ROUND(539.965,3)</f>
        <v>539.965</v>
      </c>
      <c r="D394" s="29">
        <f>F394</f>
        <v>552.624</v>
      </c>
      <c r="E394" s="29">
        <f>F394</f>
        <v>552.624</v>
      </c>
      <c r="F394" s="29">
        <f>ROUND(552.624,3)</f>
        <v>552.624</v>
      </c>
      <c r="G394" s="25"/>
      <c r="H394" s="26"/>
    </row>
    <row r="395" spans="1:8" ht="12.75" customHeight="1">
      <c r="A395" s="23">
        <v>43132</v>
      </c>
      <c r="B395" s="23"/>
      <c r="C395" s="29">
        <f>ROUND(539.965,3)</f>
        <v>539.965</v>
      </c>
      <c r="D395" s="29">
        <f>F395</f>
        <v>563.329</v>
      </c>
      <c r="E395" s="29">
        <f>F395</f>
        <v>563.329</v>
      </c>
      <c r="F395" s="29">
        <f>ROUND(563.329,3)</f>
        <v>563.329</v>
      </c>
      <c r="G395" s="25"/>
      <c r="H395" s="26"/>
    </row>
    <row r="396" spans="1:8" ht="12.75" customHeight="1">
      <c r="A396" s="23">
        <v>43223</v>
      </c>
      <c r="B396" s="23"/>
      <c r="C396" s="29">
        <f>ROUND(539.965,3)</f>
        <v>539.965</v>
      </c>
      <c r="D396" s="29">
        <f>F396</f>
        <v>574.32</v>
      </c>
      <c r="E396" s="29">
        <f>F396</f>
        <v>574.32</v>
      </c>
      <c r="F396" s="29">
        <f>ROUND(574.32,3)</f>
        <v>574.32</v>
      </c>
      <c r="G396" s="25"/>
      <c r="H396" s="26"/>
    </row>
    <row r="397" spans="1:8" ht="12.75" customHeight="1">
      <c r="A397" s="23" t="s">
        <v>86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42950</v>
      </c>
      <c r="B398" s="23"/>
      <c r="C398" s="29">
        <f>ROUND(620.504,3)</f>
        <v>620.504</v>
      </c>
      <c r="D398" s="29">
        <f>F398</f>
        <v>623.164</v>
      </c>
      <c r="E398" s="29">
        <f>F398</f>
        <v>623.164</v>
      </c>
      <c r="F398" s="29">
        <f>ROUND(623.164,3)</f>
        <v>623.164</v>
      </c>
      <c r="G398" s="25"/>
      <c r="H398" s="26"/>
    </row>
    <row r="399" spans="1:8" ht="12.75" customHeight="1">
      <c r="A399" s="23">
        <v>43041</v>
      </c>
      <c r="B399" s="23"/>
      <c r="C399" s="29">
        <f>ROUND(620.504,3)</f>
        <v>620.504</v>
      </c>
      <c r="D399" s="29">
        <f>F399</f>
        <v>635.051</v>
      </c>
      <c r="E399" s="29">
        <f>F399</f>
        <v>635.051</v>
      </c>
      <c r="F399" s="29">
        <f>ROUND(635.051,3)</f>
        <v>635.051</v>
      </c>
      <c r="G399" s="25"/>
      <c r="H399" s="26"/>
    </row>
    <row r="400" spans="1:8" ht="12.75" customHeight="1">
      <c r="A400" s="23">
        <v>43132</v>
      </c>
      <c r="B400" s="23"/>
      <c r="C400" s="29">
        <f>ROUND(620.504,3)</f>
        <v>620.504</v>
      </c>
      <c r="D400" s="29">
        <f>F400</f>
        <v>647.353</v>
      </c>
      <c r="E400" s="29">
        <f>F400</f>
        <v>647.353</v>
      </c>
      <c r="F400" s="29">
        <f>ROUND(647.353,3)</f>
        <v>647.353</v>
      </c>
      <c r="G400" s="25"/>
      <c r="H400" s="26"/>
    </row>
    <row r="401" spans="1:8" ht="12.75" customHeight="1">
      <c r="A401" s="23">
        <v>43223</v>
      </c>
      <c r="B401" s="23"/>
      <c r="C401" s="29">
        <f>ROUND(620.504,3)</f>
        <v>620.504</v>
      </c>
      <c r="D401" s="29">
        <f>F401</f>
        <v>659.983</v>
      </c>
      <c r="E401" s="29">
        <f>F401</f>
        <v>659.983</v>
      </c>
      <c r="F401" s="29">
        <f>ROUND(659.983,3)</f>
        <v>659.983</v>
      </c>
      <c r="G401" s="25"/>
      <c r="H401" s="26"/>
    </row>
    <row r="402" spans="1:8" ht="12.75" customHeight="1">
      <c r="A402" s="23" t="s">
        <v>87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42950</v>
      </c>
      <c r="B403" s="23"/>
      <c r="C403" s="29">
        <f>ROUND(558.042,3)</f>
        <v>558.042</v>
      </c>
      <c r="D403" s="29">
        <f>F403</f>
        <v>560.434</v>
      </c>
      <c r="E403" s="29">
        <f>F403</f>
        <v>560.434</v>
      </c>
      <c r="F403" s="29">
        <f>ROUND(560.434,3)</f>
        <v>560.434</v>
      </c>
      <c r="G403" s="25"/>
      <c r="H403" s="26"/>
    </row>
    <row r="404" spans="1:8" ht="12.75" customHeight="1">
      <c r="A404" s="23">
        <v>43041</v>
      </c>
      <c r="B404" s="23"/>
      <c r="C404" s="29">
        <f>ROUND(558.042,3)</f>
        <v>558.042</v>
      </c>
      <c r="D404" s="29">
        <f>F404</f>
        <v>571.124</v>
      </c>
      <c r="E404" s="29">
        <f>F404</f>
        <v>571.124</v>
      </c>
      <c r="F404" s="29">
        <f>ROUND(571.124,3)</f>
        <v>571.124</v>
      </c>
      <c r="G404" s="25"/>
      <c r="H404" s="26"/>
    </row>
    <row r="405" spans="1:8" ht="12.75" customHeight="1">
      <c r="A405" s="23">
        <v>43132</v>
      </c>
      <c r="B405" s="23"/>
      <c r="C405" s="29">
        <f>ROUND(558.042,3)</f>
        <v>558.042</v>
      </c>
      <c r="D405" s="29">
        <f>F405</f>
        <v>582.188</v>
      </c>
      <c r="E405" s="29">
        <f>F405</f>
        <v>582.188</v>
      </c>
      <c r="F405" s="29">
        <f>ROUND(582.188,3)</f>
        <v>582.188</v>
      </c>
      <c r="G405" s="25"/>
      <c r="H405" s="26"/>
    </row>
    <row r="406" spans="1:8" ht="12.75" customHeight="1">
      <c r="A406" s="23">
        <v>43223</v>
      </c>
      <c r="B406" s="23"/>
      <c r="C406" s="29">
        <f>ROUND(558.042,3)</f>
        <v>558.042</v>
      </c>
      <c r="D406" s="29">
        <f>F406</f>
        <v>593.547</v>
      </c>
      <c r="E406" s="29">
        <f>F406</f>
        <v>593.547</v>
      </c>
      <c r="F406" s="29">
        <f>ROUND(593.547,3)</f>
        <v>593.547</v>
      </c>
      <c r="G406" s="25"/>
      <c r="H406" s="26"/>
    </row>
    <row r="407" spans="1:8" ht="12.75" customHeight="1">
      <c r="A407" s="23" t="s">
        <v>88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42950</v>
      </c>
      <c r="B408" s="23"/>
      <c r="C408" s="29">
        <f>ROUND(244.423171420846,3)</f>
        <v>244.423</v>
      </c>
      <c r="D408" s="29">
        <f>F408</f>
        <v>245.484</v>
      </c>
      <c r="E408" s="29">
        <f>F408</f>
        <v>245.484</v>
      </c>
      <c r="F408" s="29">
        <f>ROUND(245.484,3)</f>
        <v>245.484</v>
      </c>
      <c r="G408" s="25"/>
      <c r="H408" s="26"/>
    </row>
    <row r="409" spans="1:8" ht="12.75" customHeight="1">
      <c r="A409" s="23">
        <v>43041</v>
      </c>
      <c r="B409" s="23"/>
      <c r="C409" s="29">
        <f>ROUND(244.423171420846,3)</f>
        <v>244.423</v>
      </c>
      <c r="D409" s="29">
        <f>F409</f>
        <v>250.218</v>
      </c>
      <c r="E409" s="29">
        <f>F409</f>
        <v>250.218</v>
      </c>
      <c r="F409" s="29">
        <f>ROUND(250.218,3)</f>
        <v>250.218</v>
      </c>
      <c r="G409" s="25"/>
      <c r="H409" s="26"/>
    </row>
    <row r="410" spans="1:8" ht="12.75" customHeight="1">
      <c r="A410" s="23">
        <v>43132</v>
      </c>
      <c r="B410" s="23"/>
      <c r="C410" s="29">
        <f>ROUND(244.423171420846,3)</f>
        <v>244.423</v>
      </c>
      <c r="D410" s="29">
        <f>F410</f>
        <v>255.151</v>
      </c>
      <c r="E410" s="29">
        <f>F410</f>
        <v>255.151</v>
      </c>
      <c r="F410" s="29">
        <f>ROUND(255.151,3)</f>
        <v>255.151</v>
      </c>
      <c r="G410" s="25"/>
      <c r="H410" s="26"/>
    </row>
    <row r="411" spans="1:8" ht="12.75" customHeight="1">
      <c r="A411" s="23">
        <v>43223</v>
      </c>
      <c r="B411" s="23"/>
      <c r="C411" s="29">
        <f>ROUND(244.423171420846,3)</f>
        <v>244.423</v>
      </c>
      <c r="D411" s="29">
        <f>F411</f>
        <v>260.282</v>
      </c>
      <c r="E411" s="29">
        <f>F411</f>
        <v>260.282</v>
      </c>
      <c r="F411" s="29">
        <f>ROUND(260.282,3)</f>
        <v>260.282</v>
      </c>
      <c r="G411" s="25"/>
      <c r="H411" s="26"/>
    </row>
    <row r="412" spans="1:8" ht="12.75" customHeight="1">
      <c r="A412" s="23" t="s">
        <v>89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42950</v>
      </c>
      <c r="B413" s="23"/>
      <c r="C413" s="29">
        <f>ROUND(675.731,3)</f>
        <v>675.731</v>
      </c>
      <c r="D413" s="29">
        <f>F413</f>
        <v>695.694</v>
      </c>
      <c r="E413" s="29">
        <f>F413</f>
        <v>695.694</v>
      </c>
      <c r="F413" s="29">
        <f>ROUND(695.694,3)</f>
        <v>695.694</v>
      </c>
      <c r="G413" s="25"/>
      <c r="H413" s="26"/>
    </row>
    <row r="414" spans="1:8" ht="12.75" customHeight="1">
      <c r="A414" s="23">
        <v>43041</v>
      </c>
      <c r="B414" s="23"/>
      <c r="C414" s="29">
        <f>ROUND(675.731,3)</f>
        <v>675.731</v>
      </c>
      <c r="D414" s="29">
        <f>F414</f>
        <v>709.665</v>
      </c>
      <c r="E414" s="29">
        <f>F414</f>
        <v>709.665</v>
      </c>
      <c r="F414" s="29">
        <f>ROUND(709.665,3)</f>
        <v>709.665</v>
      </c>
      <c r="G414" s="25"/>
      <c r="H414" s="26"/>
    </row>
    <row r="415" spans="1:8" ht="12.75" customHeight="1">
      <c r="A415" s="23">
        <v>43132</v>
      </c>
      <c r="B415" s="23"/>
      <c r="C415" s="29">
        <f>ROUND(675.731,3)</f>
        <v>675.731</v>
      </c>
      <c r="D415" s="29">
        <f>F415</f>
        <v>724.173</v>
      </c>
      <c r="E415" s="29">
        <f>F415</f>
        <v>724.173</v>
      </c>
      <c r="F415" s="29">
        <f>ROUND(724.173,3)</f>
        <v>724.173</v>
      </c>
      <c r="G415" s="25"/>
      <c r="H415" s="26"/>
    </row>
    <row r="416" spans="1:8" ht="12.75" customHeight="1">
      <c r="A416" s="23" t="s">
        <v>90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42996</v>
      </c>
      <c r="B417" s="23"/>
      <c r="C417" s="25">
        <f>ROUND(22935.11,2)</f>
        <v>22935.11</v>
      </c>
      <c r="D417" s="25">
        <f>F417</f>
        <v>23207.88</v>
      </c>
      <c r="E417" s="25">
        <f>F417</f>
        <v>23207.88</v>
      </c>
      <c r="F417" s="25">
        <f>ROUND(23207.88,2)</f>
        <v>23207.88</v>
      </c>
      <c r="G417" s="25"/>
      <c r="H417" s="26"/>
    </row>
    <row r="418" spans="1:8" ht="12.75" customHeight="1">
      <c r="A418" s="23">
        <v>43087</v>
      </c>
      <c r="B418" s="23"/>
      <c r="C418" s="25">
        <f>ROUND(22935.11,2)</f>
        <v>22935.11</v>
      </c>
      <c r="D418" s="25">
        <f>F418</f>
        <v>23584.95</v>
      </c>
      <c r="E418" s="25">
        <f>F418</f>
        <v>23584.95</v>
      </c>
      <c r="F418" s="25">
        <f>ROUND(23584.95,2)</f>
        <v>23584.95</v>
      </c>
      <c r="G418" s="25"/>
      <c r="H418" s="26"/>
    </row>
    <row r="419" spans="1:8" ht="12.75" customHeight="1">
      <c r="A419" s="23">
        <v>43178</v>
      </c>
      <c r="B419" s="23"/>
      <c r="C419" s="25">
        <f>ROUND(22935.11,2)</f>
        <v>22935.11</v>
      </c>
      <c r="D419" s="25">
        <f>F419</f>
        <v>23960.36</v>
      </c>
      <c r="E419" s="25">
        <f>F419</f>
        <v>23960.36</v>
      </c>
      <c r="F419" s="25">
        <f>ROUND(23960.36,2)</f>
        <v>23960.36</v>
      </c>
      <c r="G419" s="25"/>
      <c r="H419" s="26"/>
    </row>
    <row r="420" spans="1:8" ht="12.75" customHeight="1">
      <c r="A420" s="23" t="s">
        <v>91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42935</v>
      </c>
      <c r="B421" s="23"/>
      <c r="C421" s="29">
        <f>ROUND(7.34167,3)</f>
        <v>7.342</v>
      </c>
      <c r="D421" s="29">
        <f>ROUND(7.34,3)</f>
        <v>7.34</v>
      </c>
      <c r="E421" s="29">
        <f>ROUND(7.24,3)</f>
        <v>7.24</v>
      </c>
      <c r="F421" s="29">
        <f>ROUND(7.29,3)</f>
        <v>7.29</v>
      </c>
      <c r="G421" s="25"/>
      <c r="H421" s="26"/>
    </row>
    <row r="422" spans="1:8" ht="12.75" customHeight="1">
      <c r="A422" s="23">
        <v>42963</v>
      </c>
      <c r="B422" s="23"/>
      <c r="C422" s="29">
        <f>ROUND(7.34167,3)</f>
        <v>7.342</v>
      </c>
      <c r="D422" s="29">
        <f>ROUND(7.32,3)</f>
        <v>7.32</v>
      </c>
      <c r="E422" s="29">
        <f>ROUND(7.22,3)</f>
        <v>7.22</v>
      </c>
      <c r="F422" s="29">
        <f>ROUND(7.27,3)</f>
        <v>7.27</v>
      </c>
      <c r="G422" s="25"/>
      <c r="H422" s="26"/>
    </row>
    <row r="423" spans="1:8" ht="12.75" customHeight="1">
      <c r="A423" s="23">
        <v>42998</v>
      </c>
      <c r="B423" s="23"/>
      <c r="C423" s="29">
        <f>ROUND(7.34167,3)</f>
        <v>7.342</v>
      </c>
      <c r="D423" s="29">
        <f>ROUND(7.23,3)</f>
        <v>7.23</v>
      </c>
      <c r="E423" s="29">
        <f>ROUND(7.13,3)</f>
        <v>7.13</v>
      </c>
      <c r="F423" s="29">
        <f>ROUND(7.18,3)</f>
        <v>7.18</v>
      </c>
      <c r="G423" s="25"/>
      <c r="H423" s="26"/>
    </row>
    <row r="424" spans="1:8" ht="12.75" customHeight="1">
      <c r="A424" s="23">
        <v>43026</v>
      </c>
      <c r="B424" s="23"/>
      <c r="C424" s="29">
        <f>ROUND(7.34167,3)</f>
        <v>7.342</v>
      </c>
      <c r="D424" s="29">
        <f>ROUND(7.19,3)</f>
        <v>7.19</v>
      </c>
      <c r="E424" s="29">
        <f>ROUND(7.09,3)</f>
        <v>7.09</v>
      </c>
      <c r="F424" s="29">
        <f>ROUND(7.14,3)</f>
        <v>7.14</v>
      </c>
      <c r="G424" s="25"/>
      <c r="H424" s="26"/>
    </row>
    <row r="425" spans="1:8" ht="12.75" customHeight="1">
      <c r="A425" s="23">
        <v>43054</v>
      </c>
      <c r="B425" s="23"/>
      <c r="C425" s="29">
        <f>ROUND(7.34167,3)</f>
        <v>7.342</v>
      </c>
      <c r="D425" s="29">
        <f>ROUND(7.12,3)</f>
        <v>7.12</v>
      </c>
      <c r="E425" s="29">
        <f>ROUND(7.02,3)</f>
        <v>7.02</v>
      </c>
      <c r="F425" s="29">
        <f>ROUND(7.07,3)</f>
        <v>7.07</v>
      </c>
      <c r="G425" s="25"/>
      <c r="H425" s="26"/>
    </row>
    <row r="426" spans="1:8" ht="12.75" customHeight="1">
      <c r="A426" s="23">
        <v>43089</v>
      </c>
      <c r="B426" s="23"/>
      <c r="C426" s="29">
        <f>ROUND(7.34167,3)</f>
        <v>7.342</v>
      </c>
      <c r="D426" s="29">
        <f>ROUND(7.07,3)</f>
        <v>7.07</v>
      </c>
      <c r="E426" s="29">
        <f>ROUND(6.97,3)</f>
        <v>6.97</v>
      </c>
      <c r="F426" s="29">
        <f>ROUND(7.02,3)</f>
        <v>7.02</v>
      </c>
      <c r="G426" s="25"/>
      <c r="H426" s="26"/>
    </row>
    <row r="427" spans="1:8" ht="12.75" customHeight="1">
      <c r="A427" s="23">
        <v>43179</v>
      </c>
      <c r="B427" s="23"/>
      <c r="C427" s="29">
        <f>ROUND(7.34167,3)</f>
        <v>7.342</v>
      </c>
      <c r="D427" s="29">
        <f>ROUND(6.95,3)</f>
        <v>6.95</v>
      </c>
      <c r="E427" s="29">
        <f>ROUND(6.85,3)</f>
        <v>6.85</v>
      </c>
      <c r="F427" s="29">
        <f>ROUND(6.9,3)</f>
        <v>6.9</v>
      </c>
      <c r="G427" s="25"/>
      <c r="H427" s="26"/>
    </row>
    <row r="428" spans="1:8" ht="12.75" customHeight="1">
      <c r="A428" s="23">
        <v>43269</v>
      </c>
      <c r="B428" s="23"/>
      <c r="C428" s="29">
        <f>ROUND(7.34167,3)</f>
        <v>7.342</v>
      </c>
      <c r="D428" s="29">
        <f>ROUND(7.51,3)</f>
        <v>7.51</v>
      </c>
      <c r="E428" s="29">
        <f>ROUND(7.41,3)</f>
        <v>7.41</v>
      </c>
      <c r="F428" s="29">
        <f>ROUND(7.46,3)</f>
        <v>7.46</v>
      </c>
      <c r="G428" s="25"/>
      <c r="H428" s="26"/>
    </row>
    <row r="429" spans="1:8" ht="12.75" customHeight="1">
      <c r="A429" s="23">
        <v>43271</v>
      </c>
      <c r="B429" s="23"/>
      <c r="C429" s="29">
        <f>ROUND(7.34167,3)</f>
        <v>7.342</v>
      </c>
      <c r="D429" s="29">
        <f>ROUND(6.91,3)</f>
        <v>6.91</v>
      </c>
      <c r="E429" s="29">
        <f>ROUND(6.81,3)</f>
        <v>6.81</v>
      </c>
      <c r="F429" s="29">
        <f>ROUND(6.86,3)</f>
        <v>6.86</v>
      </c>
      <c r="G429" s="25"/>
      <c r="H429" s="26"/>
    </row>
    <row r="430" spans="1:8" ht="12.75" customHeight="1">
      <c r="A430" s="23">
        <v>43362</v>
      </c>
      <c r="B430" s="23"/>
      <c r="C430" s="29">
        <f>ROUND(7.34167,3)</f>
        <v>7.342</v>
      </c>
      <c r="D430" s="29">
        <f>ROUND(6.94,3)</f>
        <v>6.94</v>
      </c>
      <c r="E430" s="29">
        <f>ROUND(6.84,3)</f>
        <v>6.84</v>
      </c>
      <c r="F430" s="29">
        <f>ROUND(6.89,3)</f>
        <v>6.89</v>
      </c>
      <c r="G430" s="25"/>
      <c r="H430" s="26"/>
    </row>
    <row r="431" spans="1:8" ht="12.75" customHeight="1">
      <c r="A431" s="23">
        <v>43453</v>
      </c>
      <c r="B431" s="23"/>
      <c r="C431" s="29">
        <f>ROUND(7.34167,3)</f>
        <v>7.342</v>
      </c>
      <c r="D431" s="29">
        <f>ROUND(6.98,3)</f>
        <v>6.98</v>
      </c>
      <c r="E431" s="29">
        <f>ROUND(6.88,3)</f>
        <v>6.88</v>
      </c>
      <c r="F431" s="29">
        <f>ROUND(6.93,3)</f>
        <v>6.93</v>
      </c>
      <c r="G431" s="25"/>
      <c r="H431" s="26"/>
    </row>
    <row r="432" spans="1:8" ht="12.75" customHeight="1">
      <c r="A432" s="23">
        <v>43544</v>
      </c>
      <c r="B432" s="23"/>
      <c r="C432" s="29">
        <f>ROUND(7.34167,3)</f>
        <v>7.342</v>
      </c>
      <c r="D432" s="29">
        <f>ROUND(7.03,3)</f>
        <v>7.03</v>
      </c>
      <c r="E432" s="29">
        <f>ROUND(6.93,3)</f>
        <v>6.93</v>
      </c>
      <c r="F432" s="29">
        <f>ROUND(6.98,3)</f>
        <v>6.98</v>
      </c>
      <c r="G432" s="25"/>
      <c r="H432" s="26"/>
    </row>
    <row r="433" spans="1:8" ht="12.75" customHeight="1">
      <c r="A433" s="23">
        <v>43635</v>
      </c>
      <c r="B433" s="23"/>
      <c r="C433" s="29">
        <f>ROUND(7.34167,3)</f>
        <v>7.342</v>
      </c>
      <c r="D433" s="29">
        <f>ROUND(7.09,3)</f>
        <v>7.09</v>
      </c>
      <c r="E433" s="29">
        <f>ROUND(6.99,3)</f>
        <v>6.99</v>
      </c>
      <c r="F433" s="29">
        <f>ROUND(7.04,3)</f>
        <v>7.04</v>
      </c>
      <c r="G433" s="25"/>
      <c r="H433" s="26"/>
    </row>
    <row r="434" spans="1:8" ht="12.75" customHeight="1">
      <c r="A434" s="23" t="s">
        <v>92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42950</v>
      </c>
      <c r="B435" s="23"/>
      <c r="C435" s="29">
        <f>ROUND(556.633,3)</f>
        <v>556.633</v>
      </c>
      <c r="D435" s="29">
        <f>F435</f>
        <v>559.019</v>
      </c>
      <c r="E435" s="29">
        <f>F435</f>
        <v>559.019</v>
      </c>
      <c r="F435" s="29">
        <f>ROUND(559.019,3)</f>
        <v>559.019</v>
      </c>
      <c r="G435" s="25"/>
      <c r="H435" s="26"/>
    </row>
    <row r="436" spans="1:8" ht="12.75" customHeight="1">
      <c r="A436" s="23">
        <v>43041</v>
      </c>
      <c r="B436" s="23"/>
      <c r="C436" s="29">
        <f>ROUND(556.633,3)</f>
        <v>556.633</v>
      </c>
      <c r="D436" s="29">
        <f>F436</f>
        <v>569.682</v>
      </c>
      <c r="E436" s="29">
        <f>F436</f>
        <v>569.682</v>
      </c>
      <c r="F436" s="29">
        <f>ROUND(569.682,3)</f>
        <v>569.682</v>
      </c>
      <c r="G436" s="25"/>
      <c r="H436" s="26"/>
    </row>
    <row r="437" spans="1:8" ht="12.75" customHeight="1">
      <c r="A437" s="23">
        <v>43132</v>
      </c>
      <c r="B437" s="23"/>
      <c r="C437" s="29">
        <f>ROUND(556.633,3)</f>
        <v>556.633</v>
      </c>
      <c r="D437" s="29">
        <f>F437</f>
        <v>580.718</v>
      </c>
      <c r="E437" s="29">
        <f>F437</f>
        <v>580.718</v>
      </c>
      <c r="F437" s="29">
        <f>ROUND(580.718,3)</f>
        <v>580.718</v>
      </c>
      <c r="G437" s="25"/>
      <c r="H437" s="26"/>
    </row>
    <row r="438" spans="1:8" ht="12.75" customHeight="1">
      <c r="A438" s="23">
        <v>43223</v>
      </c>
      <c r="B438" s="23"/>
      <c r="C438" s="29">
        <f>ROUND(556.633,3)</f>
        <v>556.633</v>
      </c>
      <c r="D438" s="29">
        <f>F438</f>
        <v>592.049</v>
      </c>
      <c r="E438" s="29">
        <f>F438</f>
        <v>592.049</v>
      </c>
      <c r="F438" s="29">
        <f>ROUND(592.049,3)</f>
        <v>592.049</v>
      </c>
      <c r="G438" s="25"/>
      <c r="H438" s="26"/>
    </row>
    <row r="439" spans="1:8" ht="12.75" customHeight="1">
      <c r="A439" s="23" t="s">
        <v>93</v>
      </c>
      <c r="B439" s="23"/>
      <c r="C439" s="27"/>
      <c r="D439" s="27"/>
      <c r="E439" s="27"/>
      <c r="F439" s="27"/>
      <c r="G439" s="25"/>
      <c r="H439" s="26"/>
    </row>
    <row r="440" spans="1:8" ht="12.75" customHeight="1">
      <c r="A440" s="23">
        <v>42999</v>
      </c>
      <c r="B440" s="23"/>
      <c r="C440" s="24">
        <f>ROUND(100.032252896892,5)</f>
        <v>100.03225</v>
      </c>
      <c r="D440" s="24">
        <f>F440</f>
        <v>99.61262</v>
      </c>
      <c r="E440" s="24">
        <f>F440</f>
        <v>99.61262</v>
      </c>
      <c r="F440" s="24">
        <f>ROUND(99.612620754922,5)</f>
        <v>99.61262</v>
      </c>
      <c r="G440" s="25"/>
      <c r="H440" s="26"/>
    </row>
    <row r="441" spans="1:8" ht="12.75" customHeight="1">
      <c r="A441" s="23" t="s">
        <v>94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43090</v>
      </c>
      <c r="B442" s="23"/>
      <c r="C442" s="24">
        <f>ROUND(100.032252896892,5)</f>
        <v>100.03225</v>
      </c>
      <c r="D442" s="24">
        <f>F442</f>
        <v>99.82186</v>
      </c>
      <c r="E442" s="24">
        <f>F442</f>
        <v>99.82186</v>
      </c>
      <c r="F442" s="24">
        <f>ROUND(99.8218595511576,5)</f>
        <v>99.82186</v>
      </c>
      <c r="G442" s="25"/>
      <c r="H442" s="26"/>
    </row>
    <row r="443" spans="1:8" ht="12.75" customHeight="1">
      <c r="A443" s="23" t="s">
        <v>95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43174</v>
      </c>
      <c r="B444" s="23"/>
      <c r="C444" s="24">
        <f>ROUND(100.032252896892,5)</f>
        <v>100.03225</v>
      </c>
      <c r="D444" s="24">
        <f>F444</f>
        <v>99.76058</v>
      </c>
      <c r="E444" s="24">
        <f>F444</f>
        <v>99.76058</v>
      </c>
      <c r="F444" s="24">
        <f>ROUND(99.7605786869859,5)</f>
        <v>99.76058</v>
      </c>
      <c r="G444" s="25"/>
      <c r="H444" s="26"/>
    </row>
    <row r="445" spans="1:8" ht="12.75" customHeight="1">
      <c r="A445" s="23" t="s">
        <v>96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43272</v>
      </c>
      <c r="B446" s="23"/>
      <c r="C446" s="24">
        <f>ROUND(100.032252896892,5)</f>
        <v>100.03225</v>
      </c>
      <c r="D446" s="24">
        <f>F446</f>
        <v>99.89746</v>
      </c>
      <c r="E446" s="24">
        <f>F446</f>
        <v>99.89746</v>
      </c>
      <c r="F446" s="24">
        <f>ROUND(99.8974611977308,5)</f>
        <v>99.89746</v>
      </c>
      <c r="G446" s="25"/>
      <c r="H446" s="26"/>
    </row>
    <row r="447" spans="1:8" ht="12.75" customHeight="1">
      <c r="A447" s="23" t="s">
        <v>97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43363</v>
      </c>
      <c r="B448" s="23"/>
      <c r="C448" s="24">
        <f>ROUND(100.032252896892,5)</f>
        <v>100.03225</v>
      </c>
      <c r="D448" s="24">
        <f>F448</f>
        <v>100.03225</v>
      </c>
      <c r="E448" s="24">
        <f>F448</f>
        <v>100.03225</v>
      </c>
      <c r="F448" s="24">
        <f>ROUND(100.032252896892,5)</f>
        <v>100.03225</v>
      </c>
      <c r="G448" s="25"/>
      <c r="H448" s="26"/>
    </row>
    <row r="449" spans="1:8" ht="12.75" customHeight="1">
      <c r="A449" s="23" t="s">
        <v>98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43087</v>
      </c>
      <c r="B450" s="23"/>
      <c r="C450" s="24">
        <f>ROUND(100.019619611863,5)</f>
        <v>100.01962</v>
      </c>
      <c r="D450" s="24">
        <f>F450</f>
        <v>99.84963</v>
      </c>
      <c r="E450" s="24">
        <f>F450</f>
        <v>99.84963</v>
      </c>
      <c r="F450" s="24">
        <f>ROUND(99.8496297940549,5)</f>
        <v>99.84963</v>
      </c>
      <c r="G450" s="25"/>
      <c r="H450" s="26"/>
    </row>
    <row r="451" spans="1:8" ht="12.75" customHeight="1">
      <c r="A451" s="23" t="s">
        <v>99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43175</v>
      </c>
      <c r="B452" s="23"/>
      <c r="C452" s="24">
        <f>ROUND(100.019619611863,5)</f>
        <v>100.01962</v>
      </c>
      <c r="D452" s="24">
        <f>F452</f>
        <v>99.04134</v>
      </c>
      <c r="E452" s="24">
        <f>F452</f>
        <v>99.04134</v>
      </c>
      <c r="F452" s="24">
        <f>ROUND(99.0413351718982,5)</f>
        <v>99.04134</v>
      </c>
      <c r="G452" s="25"/>
      <c r="H452" s="26"/>
    </row>
    <row r="453" spans="1:8" ht="12.75" customHeight="1">
      <c r="A453" s="23" t="s">
        <v>100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43266</v>
      </c>
      <c r="B454" s="23"/>
      <c r="C454" s="24">
        <f>ROUND(100.019619611863,5)</f>
        <v>100.01962</v>
      </c>
      <c r="D454" s="24">
        <f>F454</f>
        <v>98.58648</v>
      </c>
      <c r="E454" s="24">
        <f>F454</f>
        <v>98.58648</v>
      </c>
      <c r="F454" s="24">
        <f>ROUND(98.5864831306663,5)</f>
        <v>98.58648</v>
      </c>
      <c r="G454" s="25"/>
      <c r="H454" s="26"/>
    </row>
    <row r="455" spans="1:8" ht="12.75" customHeight="1">
      <c r="A455" s="23" t="s">
        <v>101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43364</v>
      </c>
      <c r="B456" s="23"/>
      <c r="C456" s="24">
        <f>ROUND(100.019619611863,5)</f>
        <v>100.01962</v>
      </c>
      <c r="D456" s="24">
        <f>F456</f>
        <v>98.50103</v>
      </c>
      <c r="E456" s="24">
        <f>F456</f>
        <v>98.50103</v>
      </c>
      <c r="F456" s="24">
        <f>ROUND(98.5010312338667,5)</f>
        <v>98.50103</v>
      </c>
      <c r="G456" s="25"/>
      <c r="H456" s="26"/>
    </row>
    <row r="457" spans="1:8" ht="12.75" customHeight="1">
      <c r="A457" s="23" t="s">
        <v>102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43455</v>
      </c>
      <c r="B458" s="23"/>
      <c r="C458" s="25">
        <f>ROUND(100.019619611863,2)</f>
        <v>100.02</v>
      </c>
      <c r="D458" s="25">
        <f>F458</f>
        <v>98.86</v>
      </c>
      <c r="E458" s="25">
        <f>F458</f>
        <v>98.86</v>
      </c>
      <c r="F458" s="25">
        <f>ROUND(98.8601259644981,2)</f>
        <v>98.86</v>
      </c>
      <c r="G458" s="25"/>
      <c r="H458" s="26"/>
    </row>
    <row r="459" spans="1:8" ht="12.75" customHeight="1">
      <c r="A459" s="23" t="s">
        <v>103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43539</v>
      </c>
      <c r="B460" s="23"/>
      <c r="C460" s="24">
        <f>ROUND(100.019619611863,5)</f>
        <v>100.01962</v>
      </c>
      <c r="D460" s="24">
        <f>F460</f>
        <v>99.24088</v>
      </c>
      <c r="E460" s="24">
        <f>F460</f>
        <v>99.24088</v>
      </c>
      <c r="F460" s="24">
        <f>ROUND(99.2408751018481,5)</f>
        <v>99.24088</v>
      </c>
      <c r="G460" s="25"/>
      <c r="H460" s="26"/>
    </row>
    <row r="461" spans="1:8" ht="12.75" customHeight="1">
      <c r="A461" s="23" t="s">
        <v>104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43637</v>
      </c>
      <c r="B462" s="23"/>
      <c r="C462" s="24">
        <f>ROUND(100.019619611863,5)</f>
        <v>100.01962</v>
      </c>
      <c r="D462" s="24">
        <f>F462</f>
        <v>99.61581</v>
      </c>
      <c r="E462" s="24">
        <f>F462</f>
        <v>99.61581</v>
      </c>
      <c r="F462" s="24">
        <f>ROUND(99.6158076119464,5)</f>
        <v>99.61581</v>
      </c>
      <c r="G462" s="25"/>
      <c r="H462" s="26"/>
    </row>
    <row r="463" spans="1:8" ht="12.75" customHeight="1">
      <c r="A463" s="23" t="s">
        <v>105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43728</v>
      </c>
      <c r="B464" s="23"/>
      <c r="C464" s="24">
        <f>ROUND(100.019619611863,5)</f>
        <v>100.01962</v>
      </c>
      <c r="D464" s="24">
        <f>F464</f>
        <v>100.01962</v>
      </c>
      <c r="E464" s="24">
        <f>F464</f>
        <v>100.01962</v>
      </c>
      <c r="F464" s="24">
        <f>ROUND(100.019619611863,5)</f>
        <v>100.01962</v>
      </c>
      <c r="G464" s="25"/>
      <c r="H464" s="26"/>
    </row>
    <row r="465" spans="1:8" ht="12.75" customHeight="1">
      <c r="A465" s="23" t="s">
        <v>106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44182</v>
      </c>
      <c r="B466" s="23"/>
      <c r="C466" s="24">
        <f>ROUND(100.716680545617,5)</f>
        <v>100.71668</v>
      </c>
      <c r="D466" s="24">
        <f>F466</f>
        <v>96.30109</v>
      </c>
      <c r="E466" s="24">
        <f>F466</f>
        <v>96.30109</v>
      </c>
      <c r="F466" s="24">
        <f>ROUND(96.3010932815307,5)</f>
        <v>96.30109</v>
      </c>
      <c r="G466" s="25"/>
      <c r="H466" s="26"/>
    </row>
    <row r="467" spans="1:8" ht="12.75" customHeight="1">
      <c r="A467" s="23" t="s">
        <v>107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44271</v>
      </c>
      <c r="B468" s="23"/>
      <c r="C468" s="24">
        <f>ROUND(100.716680545617,5)</f>
        <v>100.71668</v>
      </c>
      <c r="D468" s="24">
        <f>F468</f>
        <v>95.55832</v>
      </c>
      <c r="E468" s="24">
        <f>F468</f>
        <v>95.55832</v>
      </c>
      <c r="F468" s="24">
        <f>ROUND(95.5583157113476,5)</f>
        <v>95.55832</v>
      </c>
      <c r="G468" s="25"/>
      <c r="H468" s="26"/>
    </row>
    <row r="469" spans="1:8" ht="12.75" customHeight="1">
      <c r="A469" s="23" t="s">
        <v>108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44362</v>
      </c>
      <c r="B470" s="23"/>
      <c r="C470" s="24">
        <f>ROUND(100.716680545617,5)</f>
        <v>100.71668</v>
      </c>
      <c r="D470" s="24">
        <f>F470</f>
        <v>94.78283</v>
      </c>
      <c r="E470" s="24">
        <f>F470</f>
        <v>94.78283</v>
      </c>
      <c r="F470" s="24">
        <f>ROUND(94.7828302253751,5)</f>
        <v>94.78283</v>
      </c>
      <c r="G470" s="25"/>
      <c r="H470" s="26"/>
    </row>
    <row r="471" spans="1:8" ht="12.75" customHeight="1">
      <c r="A471" s="23" t="s">
        <v>109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44460</v>
      </c>
      <c r="B472" s="23"/>
      <c r="C472" s="24">
        <f>ROUND(100.716680545617,5)</f>
        <v>100.71668</v>
      </c>
      <c r="D472" s="24">
        <f>F472</f>
        <v>94.97239</v>
      </c>
      <c r="E472" s="24">
        <f>F472</f>
        <v>94.97239</v>
      </c>
      <c r="F472" s="24">
        <f>ROUND(94.9723870961326,5)</f>
        <v>94.97239</v>
      </c>
      <c r="G472" s="25"/>
      <c r="H472" s="26"/>
    </row>
    <row r="473" spans="1:8" ht="12.75" customHeight="1">
      <c r="A473" s="23" t="s">
        <v>110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44551</v>
      </c>
      <c r="B474" s="23"/>
      <c r="C474" s="24">
        <f>ROUND(100.716680545617,5)</f>
        <v>100.71668</v>
      </c>
      <c r="D474" s="24">
        <f>F474</f>
        <v>97.16666</v>
      </c>
      <c r="E474" s="24">
        <f>F474</f>
        <v>97.16666</v>
      </c>
      <c r="F474" s="24">
        <f>ROUND(97.1666591271295,5)</f>
        <v>97.16666</v>
      </c>
      <c r="G474" s="25"/>
      <c r="H474" s="26"/>
    </row>
    <row r="475" spans="1:8" ht="12.75" customHeight="1">
      <c r="A475" s="23" t="s">
        <v>111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44635</v>
      </c>
      <c r="B476" s="23"/>
      <c r="C476" s="24">
        <f>ROUND(100.716680545617,5)</f>
        <v>100.71668</v>
      </c>
      <c r="D476" s="24">
        <f>F476</f>
        <v>97.30821</v>
      </c>
      <c r="E476" s="24">
        <f>F476</f>
        <v>97.30821</v>
      </c>
      <c r="F476" s="24">
        <f>ROUND(97.3082126942368,5)</f>
        <v>97.30821</v>
      </c>
      <c r="G476" s="25"/>
      <c r="H476" s="26"/>
    </row>
    <row r="477" spans="1:8" ht="12.75" customHeight="1">
      <c r="A477" s="23" t="s">
        <v>112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44733</v>
      </c>
      <c r="B478" s="23"/>
      <c r="C478" s="24">
        <f>ROUND(100.716680545617,5)</f>
        <v>100.71668</v>
      </c>
      <c r="D478" s="24">
        <f>F478</f>
        <v>98.50714</v>
      </c>
      <c r="E478" s="24">
        <f>F478</f>
        <v>98.50714</v>
      </c>
      <c r="F478" s="24">
        <f>ROUND(98.5071379175114,5)</f>
        <v>98.50714</v>
      </c>
      <c r="G478" s="25"/>
      <c r="H478" s="26"/>
    </row>
    <row r="479" spans="1:8" ht="12.75" customHeight="1">
      <c r="A479" s="23" t="s">
        <v>113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44824</v>
      </c>
      <c r="B480" s="23"/>
      <c r="C480" s="24">
        <f>ROUND(100.716680545617,5)</f>
        <v>100.71668</v>
      </c>
      <c r="D480" s="24">
        <f>F480</f>
        <v>100.71668</v>
      </c>
      <c r="E480" s="24">
        <f>F480</f>
        <v>100.71668</v>
      </c>
      <c r="F480" s="24">
        <f>ROUND(100.716680545617,5)</f>
        <v>100.71668</v>
      </c>
      <c r="G480" s="25"/>
      <c r="H480" s="26"/>
    </row>
    <row r="481" spans="1:8" ht="12.75" customHeight="1">
      <c r="A481" s="23" t="s">
        <v>114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46008</v>
      </c>
      <c r="B482" s="23"/>
      <c r="C482" s="24">
        <f>ROUND(101.700912623476,5)</f>
        <v>101.70091</v>
      </c>
      <c r="D482" s="24">
        <f>F482</f>
        <v>95.56641</v>
      </c>
      <c r="E482" s="24">
        <f>F482</f>
        <v>95.56641</v>
      </c>
      <c r="F482" s="24">
        <f>ROUND(95.5664101580972,5)</f>
        <v>95.56641</v>
      </c>
      <c r="G482" s="25"/>
      <c r="H482" s="26"/>
    </row>
    <row r="483" spans="1:8" ht="12.75" customHeight="1">
      <c r="A483" s="23" t="s">
        <v>115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46097</v>
      </c>
      <c r="B484" s="23"/>
      <c r="C484" s="24">
        <f>ROUND(101.700912623476,5)</f>
        <v>101.70091</v>
      </c>
      <c r="D484" s="24">
        <f>F484</f>
        <v>92.6058</v>
      </c>
      <c r="E484" s="24">
        <f>F484</f>
        <v>92.6058</v>
      </c>
      <c r="F484" s="24">
        <f>ROUND(92.6057954798703,5)</f>
        <v>92.6058</v>
      </c>
      <c r="G484" s="25"/>
      <c r="H484" s="26"/>
    </row>
    <row r="485" spans="1:8" ht="12.75" customHeight="1">
      <c r="A485" s="23" t="s">
        <v>116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46188</v>
      </c>
      <c r="B486" s="23"/>
      <c r="C486" s="24">
        <f>ROUND(101.700912623476,5)</f>
        <v>101.70091</v>
      </c>
      <c r="D486" s="24">
        <f>F486</f>
        <v>91.37813</v>
      </c>
      <c r="E486" s="24">
        <f>F486</f>
        <v>91.37813</v>
      </c>
      <c r="F486" s="24">
        <f>ROUND(91.3781294267066,5)</f>
        <v>91.37813</v>
      </c>
      <c r="G486" s="25"/>
      <c r="H486" s="26"/>
    </row>
    <row r="487" spans="1:8" ht="12.75" customHeight="1">
      <c r="A487" s="23" t="s">
        <v>117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46286</v>
      </c>
      <c r="B488" s="23"/>
      <c r="C488" s="24">
        <f>ROUND(101.700912623476,5)</f>
        <v>101.70091</v>
      </c>
      <c r="D488" s="24">
        <f>F488</f>
        <v>93.54208</v>
      </c>
      <c r="E488" s="24">
        <f>F488</f>
        <v>93.54208</v>
      </c>
      <c r="F488" s="24">
        <f>ROUND(93.5420847885835,5)</f>
        <v>93.54208</v>
      </c>
      <c r="G488" s="25"/>
      <c r="H488" s="26"/>
    </row>
    <row r="489" spans="1:8" ht="12.75" customHeight="1">
      <c r="A489" s="23" t="s">
        <v>118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46377</v>
      </c>
      <c r="B490" s="23"/>
      <c r="C490" s="24">
        <f>ROUND(101.700912623476,5)</f>
        <v>101.70091</v>
      </c>
      <c r="D490" s="24">
        <f>F490</f>
        <v>97.318</v>
      </c>
      <c r="E490" s="24">
        <f>F490</f>
        <v>97.318</v>
      </c>
      <c r="F490" s="24">
        <f>ROUND(97.3180049226967,5)</f>
        <v>97.318</v>
      </c>
      <c r="G490" s="25"/>
      <c r="H490" s="26"/>
    </row>
    <row r="491" spans="1:8" ht="12.75" customHeight="1">
      <c r="A491" s="23" t="s">
        <v>119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46461</v>
      </c>
      <c r="B492" s="23"/>
      <c r="C492" s="24">
        <f>ROUND(101.700912623476,5)</f>
        <v>101.70091</v>
      </c>
      <c r="D492" s="24">
        <f>F492</f>
        <v>95.91593</v>
      </c>
      <c r="E492" s="24">
        <f>F492</f>
        <v>95.91593</v>
      </c>
      <c r="F492" s="24">
        <f>ROUND(95.9159292117161,5)</f>
        <v>95.91593</v>
      </c>
      <c r="G492" s="25"/>
      <c r="H492" s="26"/>
    </row>
    <row r="493" spans="1:8" ht="12.75" customHeight="1">
      <c r="A493" s="23" t="s">
        <v>120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46559</v>
      </c>
      <c r="B494" s="23"/>
      <c r="C494" s="24">
        <f>ROUND(101.700912623476,5)</f>
        <v>101.70091</v>
      </c>
      <c r="D494" s="24">
        <f>F494</f>
        <v>97.9889</v>
      </c>
      <c r="E494" s="24">
        <f>F494</f>
        <v>97.9889</v>
      </c>
      <c r="F494" s="24">
        <f>ROUND(97.9889017280542,5)</f>
        <v>97.9889</v>
      </c>
      <c r="G494" s="25"/>
      <c r="H494" s="26"/>
    </row>
    <row r="495" spans="1:8" ht="12.75" customHeight="1">
      <c r="A495" s="23" t="s">
        <v>121</v>
      </c>
      <c r="B495" s="23"/>
      <c r="C495" s="27"/>
      <c r="D495" s="27"/>
      <c r="E495" s="27"/>
      <c r="F495" s="27"/>
      <c r="G495" s="25"/>
      <c r="H495" s="26"/>
    </row>
    <row r="496" spans="1:8" ht="12.75" customHeight="1" thickBot="1">
      <c r="A496" s="31">
        <v>46650</v>
      </c>
      <c r="B496" s="31"/>
      <c r="C496" s="32">
        <f>ROUND(101.700912623476,5)</f>
        <v>101.70091</v>
      </c>
      <c r="D496" s="32">
        <f>F496</f>
        <v>101.70091</v>
      </c>
      <c r="E496" s="32">
        <f>F496</f>
        <v>101.70091</v>
      </c>
      <c r="F496" s="32">
        <f>ROUND(101.700912623476,5)</f>
        <v>101.70091</v>
      </c>
      <c r="G496" s="33"/>
      <c r="H496" s="34"/>
    </row>
  </sheetData>
  <sheetProtection/>
  <mergeCells count="495">
    <mergeCell ref="A496:B496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2017-07-13T15:59:30Z</dcterms:modified>
  <cp:category/>
  <cp:version/>
  <cp:contentType/>
  <cp:contentStatus/>
</cp:coreProperties>
</file>