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'Jerry'!$A$1:$H$577</definedName>
  </definedNames>
  <calcPr fullCalcOnLoad="1"/>
</workbook>
</file>

<file path=xl/sharedStrings.xml><?xml version="1.0" encoding="utf-8"?>
<sst xmlns="http://schemas.openxmlformats.org/spreadsheetml/2006/main" count="121" uniqueCount="117">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</sst>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43544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43546</v>
      </c>
      <c r="B6" s="27"/>
      <c r="C6" s="28">
        <f>ROUND(99.8734412511514,2)</f>
        <v>99.87</v>
      </c>
      <c r="D6" s="28">
        <f>F6</f>
        <v>99.58</v>
      </c>
      <c r="E6" s="28">
        <f>F6</f>
        <v>99.58</v>
      </c>
      <c r="F6" s="28">
        <f>ROUND(99.5762734993148,2)</f>
        <v>99.58</v>
      </c>
      <c r="G6" s="28"/>
      <c r="H6" s="42"/>
    </row>
    <row r="7" spans="1:8" ht="12.75" customHeight="1">
      <c r="A7" s="26">
        <v>43636</v>
      </c>
      <c r="B7" s="27"/>
      <c r="C7" s="28">
        <f>ROUND(99.8734412511514,2)</f>
        <v>99.87</v>
      </c>
      <c r="D7" s="28">
        <f>F7</f>
        <v>102.01</v>
      </c>
      <c r="E7" s="28">
        <f>F7</f>
        <v>102.01</v>
      </c>
      <c r="F7" s="28">
        <f>ROUND(102.012732364686,2)</f>
        <v>102.01</v>
      </c>
      <c r="G7" s="28"/>
      <c r="H7" s="42"/>
    </row>
    <row r="8" spans="1:8" ht="12.75" customHeight="1">
      <c r="A8" s="26">
        <v>43727</v>
      </c>
      <c r="B8" s="27"/>
      <c r="C8" s="28">
        <f>ROUND(99.8734412511514,2)</f>
        <v>99.87</v>
      </c>
      <c r="D8" s="28">
        <f>F8</f>
        <v>99.87</v>
      </c>
      <c r="E8" s="28">
        <f>F8</f>
        <v>99.87</v>
      </c>
      <c r="F8" s="28">
        <f>ROUND(99.8734412511514,2)</f>
        <v>99.87</v>
      </c>
      <c r="G8" s="28"/>
      <c r="H8" s="42"/>
    </row>
    <row r="9" spans="1:8" ht="12.75" customHeight="1">
      <c r="A9" s="26" t="s">
        <v>13</v>
      </c>
      <c r="B9" s="27"/>
      <c r="C9" s="29"/>
      <c r="D9" s="29"/>
      <c r="E9" s="29"/>
      <c r="F9" s="29"/>
      <c r="G9" s="28"/>
      <c r="H9" s="42"/>
    </row>
    <row r="10" spans="1:8" ht="12.75" customHeight="1">
      <c r="A10" s="26">
        <v>43637</v>
      </c>
      <c r="B10" s="27"/>
      <c r="C10" s="28">
        <f>ROUND(99.331808331722,2)</f>
        <v>99.33</v>
      </c>
      <c r="D10" s="28">
        <f>F10</f>
        <v>99.74</v>
      </c>
      <c r="E10" s="28">
        <f>F10</f>
        <v>99.74</v>
      </c>
      <c r="F10" s="28">
        <f>ROUND(99.7413237173965,2)</f>
        <v>99.74</v>
      </c>
      <c r="G10" s="28"/>
      <c r="H10" s="42"/>
    </row>
    <row r="11" spans="1:8" ht="12.75" customHeight="1">
      <c r="A11" s="26">
        <v>43728</v>
      </c>
      <c r="B11" s="27"/>
      <c r="C11" s="28">
        <f>ROUND(99.331808331722,2)</f>
        <v>99.33</v>
      </c>
      <c r="D11" s="28">
        <f>F11</f>
        <v>101.87</v>
      </c>
      <c r="E11" s="28">
        <f>F11</f>
        <v>101.87</v>
      </c>
      <c r="F11" s="28">
        <f>ROUND(101.872048743032,2)</f>
        <v>101.87</v>
      </c>
      <c r="G11" s="28"/>
      <c r="H11" s="42"/>
    </row>
    <row r="12" spans="1:8" ht="12.75" customHeight="1">
      <c r="A12" s="26">
        <v>43819</v>
      </c>
      <c r="B12" s="27"/>
      <c r="C12" s="28">
        <f>ROUND(99.331808331722,2)</f>
        <v>99.33</v>
      </c>
      <c r="D12" s="28">
        <f>F12</f>
        <v>102.81</v>
      </c>
      <c r="E12" s="28">
        <f>F12</f>
        <v>102.81</v>
      </c>
      <c r="F12" s="28">
        <f>ROUND(102.812476597683,2)</f>
        <v>102.81</v>
      </c>
      <c r="G12" s="28"/>
      <c r="H12" s="42"/>
    </row>
    <row r="13" spans="1:8" ht="12.75" customHeight="1">
      <c r="A13" s="26">
        <v>43913</v>
      </c>
      <c r="B13" s="27"/>
      <c r="C13" s="28">
        <f>ROUND(99.331808331722,2)</f>
        <v>99.33</v>
      </c>
      <c r="D13" s="28">
        <f>F13</f>
        <v>98.8</v>
      </c>
      <c r="E13" s="28">
        <f>F13</f>
        <v>98.8</v>
      </c>
      <c r="F13" s="28">
        <f>ROUND(98.8041955231982,2)</f>
        <v>98.8</v>
      </c>
      <c r="G13" s="28"/>
      <c r="H13" s="42"/>
    </row>
    <row r="14" spans="1:8" ht="12.75" customHeight="1">
      <c r="A14" s="26">
        <v>44004</v>
      </c>
      <c r="B14" s="27"/>
      <c r="C14" s="28">
        <f>ROUND(99.331808331722,2)</f>
        <v>99.33</v>
      </c>
      <c r="D14" s="28">
        <f>F14</f>
        <v>102.36</v>
      </c>
      <c r="E14" s="28">
        <f>F14</f>
        <v>102.36</v>
      </c>
      <c r="F14" s="28">
        <f>ROUND(102.3614885954,2)</f>
        <v>102.36</v>
      </c>
      <c r="G14" s="28"/>
      <c r="H14" s="42"/>
    </row>
    <row r="15" spans="1:8" ht="12.75" customHeight="1">
      <c r="A15" s="26">
        <v>44095</v>
      </c>
      <c r="B15" s="27"/>
      <c r="C15" s="28">
        <f>ROUND(99.331808331722,2)</f>
        <v>99.33</v>
      </c>
      <c r="D15" s="28">
        <f>F15</f>
        <v>99.33</v>
      </c>
      <c r="E15" s="28">
        <f>F15</f>
        <v>99.33</v>
      </c>
      <c r="F15" s="28">
        <f>ROUND(99.331808331722,2)</f>
        <v>99.33</v>
      </c>
      <c r="G15" s="28"/>
      <c r="H15" s="42"/>
    </row>
    <row r="16" spans="1:8" ht="12.75" customHeight="1">
      <c r="A16" s="26" t="s">
        <v>14</v>
      </c>
      <c r="B16" s="27"/>
      <c r="C16" s="29"/>
      <c r="D16" s="29"/>
      <c r="E16" s="29"/>
      <c r="F16" s="29"/>
      <c r="G16" s="28"/>
      <c r="H16" s="42"/>
    </row>
    <row r="17" spans="1:8" ht="12.75" customHeight="1">
      <c r="A17" s="26">
        <v>44182</v>
      </c>
      <c r="B17" s="27"/>
      <c r="C17" s="28">
        <f>ROUND(97.5558450137764,2)</f>
        <v>97.56</v>
      </c>
      <c r="D17" s="28">
        <f>F17</f>
        <v>96.1</v>
      </c>
      <c r="E17" s="28">
        <f>F17</f>
        <v>96.1</v>
      </c>
      <c r="F17" s="28">
        <f>ROUND(96.1044152351307,2)</f>
        <v>96.1</v>
      </c>
      <c r="G17" s="28"/>
      <c r="H17" s="42"/>
    </row>
    <row r="18" spans="1:8" ht="12.75" customHeight="1">
      <c r="A18" s="26">
        <v>44271</v>
      </c>
      <c r="B18" s="27"/>
      <c r="C18" s="28">
        <f>ROUND(97.5558450137764,2)</f>
        <v>97.56</v>
      </c>
      <c r="D18" s="28">
        <f>F18</f>
        <v>95.26</v>
      </c>
      <c r="E18" s="28">
        <f>F18</f>
        <v>95.26</v>
      </c>
      <c r="F18" s="28">
        <f>ROUND(95.2608196214378,2)</f>
        <v>95.26</v>
      </c>
      <c r="G18" s="28"/>
      <c r="H18" s="42"/>
    </row>
    <row r="19" spans="1:8" ht="12.75" customHeight="1">
      <c r="A19" s="26">
        <v>44362</v>
      </c>
      <c r="B19" s="27"/>
      <c r="C19" s="28">
        <f>ROUND(97.5558450137764,2)</f>
        <v>97.56</v>
      </c>
      <c r="D19" s="28">
        <f>F19</f>
        <v>94.36</v>
      </c>
      <c r="E19" s="28">
        <f>F19</f>
        <v>94.36</v>
      </c>
      <c r="F19" s="28">
        <f>ROUND(94.3645310776206,2)</f>
        <v>94.36</v>
      </c>
      <c r="G19" s="28"/>
      <c r="H19" s="42"/>
    </row>
    <row r="20" spans="1:8" ht="12.75" customHeight="1">
      <c r="A20" s="26">
        <v>44460</v>
      </c>
      <c r="B20" s="27"/>
      <c r="C20" s="28">
        <f>ROUND(97.5558450137764,2)</f>
        <v>97.56</v>
      </c>
      <c r="D20" s="28">
        <f>F20</f>
        <v>94.43</v>
      </c>
      <c r="E20" s="28">
        <f>F20</f>
        <v>94.43</v>
      </c>
      <c r="F20" s="28">
        <f>ROUND(94.4303533959625,2)</f>
        <v>94.43</v>
      </c>
      <c r="G20" s="28"/>
      <c r="H20" s="42"/>
    </row>
    <row r="21" spans="1:8" ht="12.75" customHeight="1">
      <c r="A21" s="26">
        <v>44551</v>
      </c>
      <c r="B21" s="27"/>
      <c r="C21" s="28">
        <f>ROUND(97.5558450137764,2)</f>
        <v>97.56</v>
      </c>
      <c r="D21" s="28">
        <f>F21</f>
        <v>96.53</v>
      </c>
      <c r="E21" s="28">
        <f>F21</f>
        <v>96.53</v>
      </c>
      <c r="F21" s="28">
        <f>ROUND(96.5340289499534,2)</f>
        <v>96.53</v>
      </c>
      <c r="G21" s="28"/>
      <c r="H21" s="42"/>
    </row>
    <row r="22" spans="1:8" ht="12.75" customHeight="1">
      <c r="A22" s="26">
        <v>44635</v>
      </c>
      <c r="B22" s="27"/>
      <c r="C22" s="28">
        <f>ROUND(97.5558450137764,2)</f>
        <v>97.56</v>
      </c>
      <c r="D22" s="28">
        <f>F22</f>
        <v>96.59</v>
      </c>
      <c r="E22" s="28">
        <f>F22</f>
        <v>96.59</v>
      </c>
      <c r="F22" s="28">
        <f>ROUND(96.5919293994119,2)</f>
        <v>96.59</v>
      </c>
      <c r="G22" s="28"/>
      <c r="H22" s="42"/>
    </row>
    <row r="23" spans="1:8" ht="12.75" customHeight="1">
      <c r="A23" s="26">
        <v>44733</v>
      </c>
      <c r="B23" s="27"/>
      <c r="C23" s="28">
        <f>ROUND(97.5558450137764,2)</f>
        <v>97.56</v>
      </c>
      <c r="D23" s="28">
        <f>F23</f>
        <v>97.72</v>
      </c>
      <c r="E23" s="28">
        <f>F23</f>
        <v>97.72</v>
      </c>
      <c r="F23" s="28">
        <f>ROUND(97.7152259885343,2)</f>
        <v>97.72</v>
      </c>
      <c r="G23" s="28"/>
      <c r="H23" s="42"/>
    </row>
    <row r="24" spans="1:8" ht="12.75" customHeight="1">
      <c r="A24" s="26">
        <v>44824</v>
      </c>
      <c r="B24" s="27"/>
      <c r="C24" s="28">
        <f>ROUND(97.5558450137764,2)</f>
        <v>97.56</v>
      </c>
      <c r="D24" s="28">
        <f>F24</f>
        <v>101.59</v>
      </c>
      <c r="E24" s="28">
        <f>F24</f>
        <v>101.59</v>
      </c>
      <c r="F24" s="28">
        <f>ROUND(101.591694759864,2)</f>
        <v>101.59</v>
      </c>
      <c r="G24" s="28"/>
      <c r="H24" s="42"/>
    </row>
    <row r="25" spans="1:8" ht="12.75" customHeight="1">
      <c r="A25" s="26">
        <v>44915</v>
      </c>
      <c r="B25" s="27"/>
      <c r="C25" s="28">
        <f>ROUND(97.5558450137764,2)</f>
        <v>97.56</v>
      </c>
      <c r="D25" s="28">
        <f>F25</f>
        <v>102.8</v>
      </c>
      <c r="E25" s="28">
        <f>F25</f>
        <v>102.8</v>
      </c>
      <c r="F25" s="28">
        <f>ROUND(102.797714219193,2)</f>
        <v>102.8</v>
      </c>
      <c r="G25" s="28"/>
      <c r="H25" s="42"/>
    </row>
    <row r="26" spans="1:8" ht="12.75" customHeight="1">
      <c r="A26" s="26">
        <v>45007</v>
      </c>
      <c r="B26" s="27"/>
      <c r="C26" s="28">
        <f>ROUND(97.5558450137764,2)</f>
        <v>97.56</v>
      </c>
      <c r="D26" s="28">
        <f>F26</f>
        <v>96.1</v>
      </c>
      <c r="E26" s="28">
        <f>F26</f>
        <v>96.1</v>
      </c>
      <c r="F26" s="28">
        <f>ROUND(96.1002234240173,2)</f>
        <v>96.1</v>
      </c>
      <c r="G26" s="28"/>
      <c r="H26" s="42"/>
    </row>
    <row r="27" spans="1:8" ht="12.75" customHeight="1">
      <c r="A27" s="26">
        <v>45097</v>
      </c>
      <c r="B27" s="27"/>
      <c r="C27" s="28">
        <f>ROUND(97.5558450137764,2)</f>
        <v>97.56</v>
      </c>
      <c r="D27" s="28">
        <f>F27</f>
        <v>102.12</v>
      </c>
      <c r="E27" s="28">
        <f>F27</f>
        <v>102.12</v>
      </c>
      <c r="F27" s="28">
        <f>ROUND(102.116759201475,2)</f>
        <v>102.12</v>
      </c>
      <c r="G27" s="28"/>
      <c r="H27" s="42"/>
    </row>
    <row r="28" spans="1:8" ht="12.75" customHeight="1">
      <c r="A28" s="26">
        <v>45188</v>
      </c>
      <c r="B28" s="27"/>
      <c r="C28" s="28">
        <f>ROUND(97.5558450137764,2)</f>
        <v>97.56</v>
      </c>
      <c r="D28" s="28">
        <f>F28</f>
        <v>97.56</v>
      </c>
      <c r="E28" s="28">
        <f>F28</f>
        <v>97.56</v>
      </c>
      <c r="F28" s="28">
        <f>ROUND(97.5558450137764,2)</f>
        <v>97.56</v>
      </c>
      <c r="G28" s="28"/>
      <c r="H28" s="42"/>
    </row>
    <row r="29" spans="1:8" ht="12.75" customHeight="1">
      <c r="A29" s="26" t="s">
        <v>15</v>
      </c>
      <c r="B29" s="27"/>
      <c r="C29" s="29"/>
      <c r="D29" s="29"/>
      <c r="E29" s="29"/>
      <c r="F29" s="29"/>
      <c r="G29" s="28"/>
      <c r="H29" s="42"/>
    </row>
    <row r="30" spans="1:8" ht="12.75" customHeight="1">
      <c r="A30" s="26">
        <v>46008</v>
      </c>
      <c r="B30" s="27"/>
      <c r="C30" s="28">
        <f>ROUND(96.1207700643386,2)</f>
        <v>96.12</v>
      </c>
      <c r="D30" s="28">
        <f>F30</f>
        <v>93.82</v>
      </c>
      <c r="E30" s="28">
        <f>F30</f>
        <v>93.82</v>
      </c>
      <c r="F30" s="28">
        <f>ROUND(93.8181601779028,2)</f>
        <v>93.82</v>
      </c>
      <c r="G30" s="28"/>
      <c r="H30" s="42"/>
    </row>
    <row r="31" spans="1:8" ht="12.75" customHeight="1">
      <c r="A31" s="26">
        <v>46097</v>
      </c>
      <c r="B31" s="27"/>
      <c r="C31" s="28">
        <f>ROUND(96.1207700643386,2)</f>
        <v>96.12</v>
      </c>
      <c r="D31" s="28">
        <f>F31</f>
        <v>90.76</v>
      </c>
      <c r="E31" s="28">
        <f>F31</f>
        <v>90.76</v>
      </c>
      <c r="F31" s="28">
        <f>ROUND(90.7591158308795,2)</f>
        <v>90.76</v>
      </c>
      <c r="G31" s="28"/>
      <c r="H31" s="42"/>
    </row>
    <row r="32" spans="1:8" ht="12.75" customHeight="1">
      <c r="A32" s="26">
        <v>46188</v>
      </c>
      <c r="B32" s="27"/>
      <c r="C32" s="28">
        <f>ROUND(96.1207700643386,2)</f>
        <v>96.12</v>
      </c>
      <c r="D32" s="28">
        <f>F32</f>
        <v>89.46</v>
      </c>
      <c r="E32" s="28">
        <f>F32</f>
        <v>89.46</v>
      </c>
      <c r="F32" s="28">
        <f>ROUND(89.45734825134,2)</f>
        <v>89.46</v>
      </c>
      <c r="G32" s="28"/>
      <c r="H32" s="42"/>
    </row>
    <row r="33" spans="1:8" ht="12.75" customHeight="1">
      <c r="A33" s="26">
        <v>46286</v>
      </c>
      <c r="B33" s="27"/>
      <c r="C33" s="28">
        <f>ROUND(96.1207700643386,2)</f>
        <v>96.12</v>
      </c>
      <c r="D33" s="28">
        <f>F33</f>
        <v>91.61</v>
      </c>
      <c r="E33" s="28">
        <f>F33</f>
        <v>91.61</v>
      </c>
      <c r="F33" s="28">
        <f>ROUND(91.6079825830082,2)</f>
        <v>91.61</v>
      </c>
      <c r="G33" s="28"/>
      <c r="H33" s="42"/>
    </row>
    <row r="34" spans="1:8" ht="12.75" customHeight="1">
      <c r="A34" s="26">
        <v>46377</v>
      </c>
      <c r="B34" s="27"/>
      <c r="C34" s="28">
        <f>ROUND(96.1207700643386,2)</f>
        <v>96.12</v>
      </c>
      <c r="D34" s="28">
        <f>F34</f>
        <v>95.41</v>
      </c>
      <c r="E34" s="28">
        <f>F34</f>
        <v>95.41</v>
      </c>
      <c r="F34" s="28">
        <f>ROUND(95.4108180425654,2)</f>
        <v>95.41</v>
      </c>
      <c r="G34" s="28"/>
      <c r="H34" s="42"/>
    </row>
    <row r="35" spans="1:8" ht="12.75" customHeight="1">
      <c r="A35" s="26">
        <v>46461</v>
      </c>
      <c r="B35" s="27"/>
      <c r="C35" s="28">
        <f>ROUND(96.1207700643386,2)</f>
        <v>96.12</v>
      </c>
      <c r="D35" s="28">
        <f>F35</f>
        <v>93.96</v>
      </c>
      <c r="E35" s="28">
        <f>F35</f>
        <v>93.96</v>
      </c>
      <c r="F35" s="28">
        <f>ROUND(93.9574187884698,2)</f>
        <v>93.96</v>
      </c>
      <c r="G35" s="28"/>
      <c r="H35" s="42"/>
    </row>
    <row r="36" spans="1:8" ht="12.75" customHeight="1">
      <c r="A36" s="26">
        <v>46559</v>
      </c>
      <c r="B36" s="27"/>
      <c r="C36" s="28">
        <f>ROUND(96.1207700643386,2)</f>
        <v>96.12</v>
      </c>
      <c r="D36" s="28">
        <f>F36</f>
        <v>96.04</v>
      </c>
      <c r="E36" s="28">
        <f>F36</f>
        <v>96.04</v>
      </c>
      <c r="F36" s="28">
        <f>ROUND(96.0409512722798,2)</f>
        <v>96.04</v>
      </c>
      <c r="G36" s="28"/>
      <c r="H36" s="42"/>
    </row>
    <row r="37" spans="1:8" ht="12.75" customHeight="1">
      <c r="A37" s="26">
        <v>46650</v>
      </c>
      <c r="B37" s="27"/>
      <c r="C37" s="28">
        <f>ROUND(96.1207700643386,2)</f>
        <v>96.12</v>
      </c>
      <c r="D37" s="28">
        <f>F37</f>
        <v>101.53</v>
      </c>
      <c r="E37" s="28">
        <f>F37</f>
        <v>101.53</v>
      </c>
      <c r="F37" s="28">
        <f>ROUND(101.526605048926,2)</f>
        <v>101.53</v>
      </c>
      <c r="G37" s="28"/>
      <c r="H37" s="42"/>
    </row>
    <row r="38" spans="1:8" ht="12.75" customHeight="1">
      <c r="A38" s="26">
        <v>46741</v>
      </c>
      <c r="B38" s="27"/>
      <c r="C38" s="28">
        <f>ROUND(96.1207700643386,2)</f>
        <v>96.12</v>
      </c>
      <c r="D38" s="28">
        <f>F38</f>
        <v>101.89</v>
      </c>
      <c r="E38" s="28">
        <f>F38</f>
        <v>101.89</v>
      </c>
      <c r="F38" s="28">
        <f>ROUND(101.889116789098,2)</f>
        <v>101.89</v>
      </c>
      <c r="G38" s="28"/>
      <c r="H38" s="42"/>
    </row>
    <row r="39" spans="1:8" ht="12.75" customHeight="1">
      <c r="A39" s="26">
        <v>46834</v>
      </c>
      <c r="B39" s="27"/>
      <c r="C39" s="28">
        <f>ROUND(96.1207700643386,2)</f>
        <v>96.12</v>
      </c>
      <c r="D39" s="28">
        <f>F39</f>
        <v>95.36</v>
      </c>
      <c r="E39" s="28">
        <f>F39</f>
        <v>95.36</v>
      </c>
      <c r="F39" s="28">
        <f>ROUND(95.3611377515688,2)</f>
        <v>95.36</v>
      </c>
      <c r="G39" s="28"/>
      <c r="H39" s="42"/>
    </row>
    <row r="40" spans="1:8" ht="12.75" customHeight="1">
      <c r="A40" s="26">
        <v>46924</v>
      </c>
      <c r="B40" s="27"/>
      <c r="C40" s="28">
        <f>ROUND(96.1207700643386,2)</f>
        <v>96.12</v>
      </c>
      <c r="D40" s="28">
        <f>F40</f>
        <v>102.6</v>
      </c>
      <c r="E40" s="28">
        <f>F40</f>
        <v>102.6</v>
      </c>
      <c r="F40" s="28">
        <f>ROUND(102.599154839731,2)</f>
        <v>102.6</v>
      </c>
      <c r="G40" s="28"/>
      <c r="H40" s="42"/>
    </row>
    <row r="41" spans="1:8" ht="12.75" customHeight="1">
      <c r="A41" s="26">
        <v>47015</v>
      </c>
      <c r="B41" s="27"/>
      <c r="C41" s="28">
        <f>ROUND(96.1207700643386,2)</f>
        <v>96.12</v>
      </c>
      <c r="D41" s="28">
        <f>F41</f>
        <v>96.12</v>
      </c>
      <c r="E41" s="28">
        <f>F41</f>
        <v>96.12</v>
      </c>
      <c r="F41" s="28">
        <f>ROUND(96.1207700643386,2)</f>
        <v>96.12</v>
      </c>
      <c r="G41" s="28"/>
      <c r="H41" s="42"/>
    </row>
    <row r="42" spans="1:8" ht="12.75" customHeight="1">
      <c r="A42" s="26" t="s">
        <v>16</v>
      </c>
      <c r="B42" s="27"/>
      <c r="C42" s="29"/>
      <c r="D42" s="29"/>
      <c r="E42" s="29"/>
      <c r="F42" s="29"/>
      <c r="G42" s="28"/>
      <c r="H42" s="42"/>
    </row>
    <row r="43" spans="1:8" ht="12.75" customHeight="1">
      <c r="A43" s="26">
        <v>45688</v>
      </c>
      <c r="B43" s="27"/>
      <c r="C43" s="30">
        <f>ROUND(3.155,5)</f>
        <v>3.155</v>
      </c>
      <c r="D43" s="30">
        <f>F43</f>
        <v>3.155</v>
      </c>
      <c r="E43" s="30">
        <f>F43</f>
        <v>3.155</v>
      </c>
      <c r="F43" s="30">
        <f>ROUND(3.155,5)</f>
        <v>3.155</v>
      </c>
      <c r="G43" s="28"/>
      <c r="H43" s="42"/>
    </row>
    <row r="44" spans="1:8" ht="12.75" customHeight="1">
      <c r="A44" s="26" t="s">
        <v>17</v>
      </c>
      <c r="B44" s="27"/>
      <c r="C44" s="29"/>
      <c r="D44" s="29"/>
      <c r="E44" s="29"/>
      <c r="F44" s="29"/>
      <c r="G44" s="28"/>
      <c r="H44" s="42"/>
    </row>
    <row r="45" spans="1:8" ht="12.75" customHeight="1">
      <c r="A45" s="26">
        <v>50436</v>
      </c>
      <c r="B45" s="27"/>
      <c r="C45" s="30">
        <f>ROUND(3.27,5)</f>
        <v>3.27</v>
      </c>
      <c r="D45" s="30">
        <f>F45</f>
        <v>3.27</v>
      </c>
      <c r="E45" s="30">
        <f>F45</f>
        <v>3.27</v>
      </c>
      <c r="F45" s="30">
        <f>ROUND(3.27,5)</f>
        <v>3.27</v>
      </c>
      <c r="G45" s="28"/>
      <c r="H45" s="42"/>
    </row>
    <row r="46" spans="1:8" ht="12.75" customHeight="1">
      <c r="A46" s="26" t="s">
        <v>18</v>
      </c>
      <c r="B46" s="27"/>
      <c r="C46" s="29"/>
      <c r="D46" s="29"/>
      <c r="E46" s="29"/>
      <c r="F46" s="29"/>
      <c r="G46" s="28"/>
      <c r="H46" s="42"/>
    </row>
    <row r="47" spans="1:8" ht="12.75" customHeight="1">
      <c r="A47" s="26">
        <v>55153</v>
      </c>
      <c r="B47" s="27"/>
      <c r="C47" s="30">
        <f>ROUND(3.335,5)</f>
        <v>3.335</v>
      </c>
      <c r="D47" s="30">
        <f>F47</f>
        <v>3.335</v>
      </c>
      <c r="E47" s="30">
        <f>F47</f>
        <v>3.335</v>
      </c>
      <c r="F47" s="30">
        <f>ROUND(3.335,5)</f>
        <v>3.335</v>
      </c>
      <c r="G47" s="28"/>
      <c r="H47" s="42"/>
    </row>
    <row r="48" spans="1:8" ht="12.75" customHeight="1">
      <c r="A48" s="26" t="s">
        <v>19</v>
      </c>
      <c r="B48" s="27"/>
      <c r="C48" s="29"/>
      <c r="D48" s="29"/>
      <c r="E48" s="29"/>
      <c r="F48" s="29"/>
      <c r="G48" s="28"/>
      <c r="H48" s="42"/>
    </row>
    <row r="49" spans="1:8" ht="12.75" customHeight="1">
      <c r="A49" s="26">
        <v>46875</v>
      </c>
      <c r="B49" s="27"/>
      <c r="C49" s="30">
        <f>ROUND(4.07,5)</f>
        <v>4.07</v>
      </c>
      <c r="D49" s="30">
        <f>F49</f>
        <v>4.07</v>
      </c>
      <c r="E49" s="30">
        <f>F49</f>
        <v>4.07</v>
      </c>
      <c r="F49" s="30">
        <f>ROUND(4.07,5)</f>
        <v>4.07</v>
      </c>
      <c r="G49" s="28"/>
      <c r="H49" s="42"/>
    </row>
    <row r="50" spans="1:8" ht="12.75" customHeight="1">
      <c r="A50" s="26" t="s">
        <v>20</v>
      </c>
      <c r="B50" s="27"/>
      <c r="C50" s="29"/>
      <c r="D50" s="29"/>
      <c r="E50" s="29"/>
      <c r="F50" s="29"/>
      <c r="G50" s="28"/>
      <c r="H50" s="42"/>
    </row>
    <row r="51" spans="1:8" ht="12.75" customHeight="1">
      <c r="A51" s="26">
        <v>48837</v>
      </c>
      <c r="B51" s="27"/>
      <c r="C51" s="30">
        <f>ROUND(10.96,5)</f>
        <v>10.96</v>
      </c>
      <c r="D51" s="30">
        <f>F51</f>
        <v>10.96</v>
      </c>
      <c r="E51" s="30">
        <f>F51</f>
        <v>10.96</v>
      </c>
      <c r="F51" s="30">
        <f>ROUND(10.96,5)</f>
        <v>10.96</v>
      </c>
      <c r="G51" s="28"/>
      <c r="H51" s="42"/>
    </row>
    <row r="52" spans="1:8" ht="12.75" customHeight="1">
      <c r="A52" s="26" t="s">
        <v>21</v>
      </c>
      <c r="B52" s="27"/>
      <c r="C52" s="29"/>
      <c r="D52" s="29"/>
      <c r="E52" s="29"/>
      <c r="F52" s="29"/>
      <c r="G52" s="28"/>
      <c r="H52" s="42"/>
    </row>
    <row r="53" spans="1:8" ht="12.75" customHeight="1">
      <c r="A53" s="26">
        <v>44985</v>
      </c>
      <c r="B53" s="27"/>
      <c r="C53" s="30">
        <f>ROUND(7.865,5)</f>
        <v>7.865</v>
      </c>
      <c r="D53" s="30">
        <f>F53</f>
        <v>7.865</v>
      </c>
      <c r="E53" s="30">
        <f>F53</f>
        <v>7.865</v>
      </c>
      <c r="F53" s="30">
        <f>ROUND(7.865,5)</f>
        <v>7.865</v>
      </c>
      <c r="G53" s="28"/>
      <c r="H53" s="42"/>
    </row>
    <row r="54" spans="1:8" ht="12.75" customHeight="1">
      <c r="A54" s="26" t="s">
        <v>22</v>
      </c>
      <c r="B54" s="27"/>
      <c r="C54" s="29"/>
      <c r="D54" s="29"/>
      <c r="E54" s="29"/>
      <c r="F54" s="29"/>
      <c r="G54" s="28"/>
      <c r="H54" s="42"/>
    </row>
    <row r="55" spans="1:8" ht="12.75" customHeight="1">
      <c r="A55" s="26">
        <v>46377</v>
      </c>
      <c r="B55" s="27"/>
      <c r="C55" s="31">
        <f>ROUND(8.735,3)</f>
        <v>8.735</v>
      </c>
      <c r="D55" s="31">
        <f>F55</f>
        <v>8.735</v>
      </c>
      <c r="E55" s="31">
        <f>F55</f>
        <v>8.735</v>
      </c>
      <c r="F55" s="31">
        <f>ROUND(8.735,3)</f>
        <v>8.735</v>
      </c>
      <c r="G55" s="28"/>
      <c r="H55" s="42"/>
    </row>
    <row r="56" spans="1:8" ht="12.75" customHeight="1">
      <c r="A56" s="26" t="s">
        <v>23</v>
      </c>
      <c r="B56" s="27"/>
      <c r="C56" s="29"/>
      <c r="D56" s="29"/>
      <c r="E56" s="29"/>
      <c r="F56" s="29"/>
      <c r="G56" s="28"/>
      <c r="H56" s="42"/>
    </row>
    <row r="57" spans="1:8" ht="12.75" customHeight="1">
      <c r="A57" s="26">
        <v>45267</v>
      </c>
      <c r="B57" s="27"/>
      <c r="C57" s="31">
        <f>ROUND(3.11,3)</f>
        <v>3.11</v>
      </c>
      <c r="D57" s="31">
        <f>F57</f>
        <v>3.11</v>
      </c>
      <c r="E57" s="31">
        <f>F57</f>
        <v>3.11</v>
      </c>
      <c r="F57" s="31">
        <f>ROUND(3.11,3)</f>
        <v>3.11</v>
      </c>
      <c r="G57" s="28"/>
      <c r="H57" s="42"/>
    </row>
    <row r="58" spans="1:8" ht="12.75" customHeight="1">
      <c r="A58" s="26" t="s">
        <v>24</v>
      </c>
      <c r="B58" s="27"/>
      <c r="C58" s="29"/>
      <c r="D58" s="29"/>
      <c r="E58" s="29"/>
      <c r="F58" s="29"/>
      <c r="G58" s="28"/>
      <c r="H58" s="42"/>
    </row>
    <row r="59" spans="1:8" ht="12.75" customHeight="1">
      <c r="A59" s="26">
        <v>48920</v>
      </c>
      <c r="B59" s="27"/>
      <c r="C59" s="31">
        <f>ROUND(3.32,3)</f>
        <v>3.32</v>
      </c>
      <c r="D59" s="31">
        <f>F59</f>
        <v>3.32</v>
      </c>
      <c r="E59" s="31">
        <f>F59</f>
        <v>3.32</v>
      </c>
      <c r="F59" s="31">
        <f>ROUND(3.32,3)</f>
        <v>3.32</v>
      </c>
      <c r="G59" s="28"/>
      <c r="H59" s="42"/>
    </row>
    <row r="60" spans="1:8" ht="12.75" customHeight="1">
      <c r="A60" s="26" t="s">
        <v>25</v>
      </c>
      <c r="B60" s="27"/>
      <c r="C60" s="29"/>
      <c r="D60" s="29"/>
      <c r="E60" s="29"/>
      <c r="F60" s="29"/>
      <c r="G60" s="28"/>
      <c r="H60" s="42"/>
    </row>
    <row r="61" spans="1:8" ht="12.75" customHeight="1">
      <c r="A61" s="26">
        <v>43845</v>
      </c>
      <c r="B61" s="27"/>
      <c r="C61" s="31">
        <f>ROUND(6.58,3)</f>
        <v>6.58</v>
      </c>
      <c r="D61" s="31">
        <f>F61</f>
        <v>6.58</v>
      </c>
      <c r="E61" s="31">
        <f>F61</f>
        <v>6.58</v>
      </c>
      <c r="F61" s="31">
        <f>ROUND(6.58,3)</f>
        <v>6.58</v>
      </c>
      <c r="G61" s="28"/>
      <c r="H61" s="42"/>
    </row>
    <row r="62" spans="1:8" ht="12.75" customHeight="1">
      <c r="A62" s="26" t="s">
        <v>26</v>
      </c>
      <c r="B62" s="27"/>
      <c r="C62" s="29"/>
      <c r="D62" s="29"/>
      <c r="E62" s="29"/>
      <c r="F62" s="29"/>
      <c r="G62" s="28"/>
      <c r="H62" s="42"/>
    </row>
    <row r="63" spans="1:8" ht="12.75" customHeight="1">
      <c r="A63" s="26">
        <v>44286</v>
      </c>
      <c r="B63" s="27"/>
      <c r="C63" s="31">
        <f>ROUND(7.085,3)</f>
        <v>7.085</v>
      </c>
      <c r="D63" s="31">
        <f>F63</f>
        <v>7.085</v>
      </c>
      <c r="E63" s="31">
        <f>F63</f>
        <v>7.085</v>
      </c>
      <c r="F63" s="31">
        <f>ROUND(7.085,3)</f>
        <v>7.085</v>
      </c>
      <c r="G63" s="28"/>
      <c r="H63" s="42"/>
    </row>
    <row r="64" spans="1:8" ht="12.75" customHeight="1">
      <c r="A64" s="26" t="s">
        <v>27</v>
      </c>
      <c r="B64" s="27"/>
      <c r="C64" s="29"/>
      <c r="D64" s="29"/>
      <c r="E64" s="29"/>
      <c r="F64" s="29"/>
      <c r="G64" s="28"/>
      <c r="H64" s="42"/>
    </row>
    <row r="65" spans="1:8" ht="12.75" customHeight="1">
      <c r="A65" s="26">
        <v>49765</v>
      </c>
      <c r="B65" s="27"/>
      <c r="C65" s="31">
        <f>ROUND(9.66,3)</f>
        <v>9.66</v>
      </c>
      <c r="D65" s="31">
        <f>F65</f>
        <v>9.66</v>
      </c>
      <c r="E65" s="31">
        <f>F65</f>
        <v>9.66</v>
      </c>
      <c r="F65" s="31">
        <f>ROUND(9.66,3)</f>
        <v>9.66</v>
      </c>
      <c r="G65" s="28"/>
      <c r="H65" s="42"/>
    </row>
    <row r="66" spans="1:8" ht="12.75" customHeight="1">
      <c r="A66" s="26" t="s">
        <v>28</v>
      </c>
      <c r="B66" s="27"/>
      <c r="C66" s="29"/>
      <c r="D66" s="29"/>
      <c r="E66" s="29"/>
      <c r="F66" s="29"/>
      <c r="G66" s="28"/>
      <c r="H66" s="42"/>
    </row>
    <row r="67" spans="1:8" ht="12.75" customHeight="1">
      <c r="A67" s="26">
        <v>46843</v>
      </c>
      <c r="B67" s="27"/>
      <c r="C67" s="31">
        <f>ROUND(3.3,3)</f>
        <v>3.3</v>
      </c>
      <c r="D67" s="31">
        <f>F67</f>
        <v>3.3</v>
      </c>
      <c r="E67" s="31">
        <f>F67</f>
        <v>3.3</v>
      </c>
      <c r="F67" s="31">
        <f>ROUND(3.3,3)</f>
        <v>3.3</v>
      </c>
      <c r="G67" s="28"/>
      <c r="H67" s="42"/>
    </row>
    <row r="68" spans="1:8" ht="12.75" customHeight="1">
      <c r="A68" s="26" t="s">
        <v>29</v>
      </c>
      <c r="B68" s="27"/>
      <c r="C68" s="29"/>
      <c r="D68" s="29"/>
      <c r="E68" s="29"/>
      <c r="F68" s="29"/>
      <c r="G68" s="28"/>
      <c r="H68" s="42"/>
    </row>
    <row r="69" spans="1:8" ht="12.75" customHeight="1">
      <c r="A69" s="26">
        <v>44592</v>
      </c>
      <c r="B69" s="27"/>
      <c r="C69" s="31">
        <f>ROUND(3.04,3)</f>
        <v>3.04</v>
      </c>
      <c r="D69" s="31">
        <f>F69</f>
        <v>3.04</v>
      </c>
      <c r="E69" s="31">
        <f>F69</f>
        <v>3.04</v>
      </c>
      <c r="F69" s="31">
        <f>ROUND(3.04,3)</f>
        <v>3.04</v>
      </c>
      <c r="G69" s="28"/>
      <c r="H69" s="42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42"/>
    </row>
    <row r="71" spans="1:8" ht="12.75" customHeight="1">
      <c r="A71" s="26">
        <v>47907</v>
      </c>
      <c r="B71" s="27"/>
      <c r="C71" s="31">
        <f>ROUND(9.405,3)</f>
        <v>9.405</v>
      </c>
      <c r="D71" s="31">
        <f>F71</f>
        <v>9.405</v>
      </c>
      <c r="E71" s="31">
        <f>F71</f>
        <v>9.405</v>
      </c>
      <c r="F71" s="31">
        <f>ROUND(9.405,3)</f>
        <v>9.405</v>
      </c>
      <c r="G71" s="28"/>
      <c r="H71" s="42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2"/>
    </row>
    <row r="73" spans="1:8" ht="12.75" customHeight="1">
      <c r="A73" s="26">
        <v>43587</v>
      </c>
      <c r="B73" s="27"/>
      <c r="C73" s="30">
        <f>ROUND(3.155,5)</f>
        <v>3.155</v>
      </c>
      <c r="D73" s="30">
        <f>F73</f>
        <v>133.88254</v>
      </c>
      <c r="E73" s="30">
        <f>F73</f>
        <v>133.88254</v>
      </c>
      <c r="F73" s="30">
        <f>ROUND(133.88254,5)</f>
        <v>133.88254</v>
      </c>
      <c r="G73" s="28"/>
      <c r="H73" s="42"/>
    </row>
    <row r="74" spans="1:8" ht="12.75" customHeight="1">
      <c r="A74" s="26">
        <v>43678</v>
      </c>
      <c r="B74" s="27"/>
      <c r="C74" s="30">
        <f>ROUND(3.155,5)</f>
        <v>3.155</v>
      </c>
      <c r="D74" s="30">
        <f>F74</f>
        <v>134.95962</v>
      </c>
      <c r="E74" s="30">
        <f>F74</f>
        <v>134.95962</v>
      </c>
      <c r="F74" s="30">
        <f>ROUND(134.95962,5)</f>
        <v>134.95962</v>
      </c>
      <c r="G74" s="28"/>
      <c r="H74" s="42"/>
    </row>
    <row r="75" spans="1:8" ht="12.75" customHeight="1">
      <c r="A75" s="26">
        <v>43776</v>
      </c>
      <c r="B75" s="27"/>
      <c r="C75" s="30">
        <f>ROUND(3.155,5)</f>
        <v>3.155</v>
      </c>
      <c r="D75" s="30">
        <f>F75</f>
        <v>137.81968</v>
      </c>
      <c r="E75" s="30">
        <f>F75</f>
        <v>137.81968</v>
      </c>
      <c r="F75" s="30">
        <f>ROUND(137.81968,5)</f>
        <v>137.81968</v>
      </c>
      <c r="G75" s="28"/>
      <c r="H75" s="42"/>
    </row>
    <row r="76" spans="1:8" ht="12.75" customHeight="1">
      <c r="A76" s="26">
        <v>43867</v>
      </c>
      <c r="B76" s="27"/>
      <c r="C76" s="30">
        <f>ROUND(3.155,5)</f>
        <v>3.155</v>
      </c>
      <c r="D76" s="30">
        <f>F76</f>
        <v>139.13066</v>
      </c>
      <c r="E76" s="30">
        <f>F76</f>
        <v>139.13066</v>
      </c>
      <c r="F76" s="30">
        <f>ROUND(139.13066,5)</f>
        <v>139.13066</v>
      </c>
      <c r="G76" s="28"/>
      <c r="H76" s="42"/>
    </row>
    <row r="77" spans="1:8" ht="12.75" customHeight="1">
      <c r="A77" s="26">
        <v>43958</v>
      </c>
      <c r="B77" s="27"/>
      <c r="C77" s="30">
        <f>ROUND(3.155,5)</f>
        <v>3.155</v>
      </c>
      <c r="D77" s="30">
        <f>F77</f>
        <v>141.72271</v>
      </c>
      <c r="E77" s="30">
        <f>F77</f>
        <v>141.72271</v>
      </c>
      <c r="F77" s="30">
        <f>ROUND(141.72271,5)</f>
        <v>141.72271</v>
      </c>
      <c r="G77" s="28"/>
      <c r="H77" s="42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2"/>
    </row>
    <row r="79" spans="1:8" ht="12.75" customHeight="1">
      <c r="A79" s="26">
        <v>43587</v>
      </c>
      <c r="B79" s="27"/>
      <c r="C79" s="30">
        <f>ROUND(99.47008,5)</f>
        <v>99.47008</v>
      </c>
      <c r="D79" s="30">
        <f>F79</f>
        <v>100.31175</v>
      </c>
      <c r="E79" s="30">
        <f>F79</f>
        <v>100.31175</v>
      </c>
      <c r="F79" s="30">
        <f>ROUND(100.31175,5)</f>
        <v>100.31175</v>
      </c>
      <c r="G79" s="28"/>
      <c r="H79" s="42"/>
    </row>
    <row r="80" spans="1:8" ht="12.75" customHeight="1">
      <c r="A80" s="26">
        <v>43678</v>
      </c>
      <c r="B80" s="27"/>
      <c r="C80" s="30">
        <f>ROUND(99.47008,5)</f>
        <v>99.47008</v>
      </c>
      <c r="D80" s="30">
        <f>F80</f>
        <v>102.21045</v>
      </c>
      <c r="E80" s="30">
        <f>F80</f>
        <v>102.21045</v>
      </c>
      <c r="F80" s="30">
        <f>ROUND(102.21045,5)</f>
        <v>102.21045</v>
      </c>
      <c r="G80" s="28"/>
      <c r="H80" s="42"/>
    </row>
    <row r="81" spans="1:8" ht="12.75" customHeight="1">
      <c r="A81" s="26">
        <v>43776</v>
      </c>
      <c r="B81" s="27"/>
      <c r="C81" s="30">
        <f>ROUND(99.47008,5)</f>
        <v>99.47008</v>
      </c>
      <c r="D81" s="30">
        <f>F81</f>
        <v>103.26881</v>
      </c>
      <c r="E81" s="30">
        <f>F81</f>
        <v>103.26881</v>
      </c>
      <c r="F81" s="30">
        <f>ROUND(103.26881,5)</f>
        <v>103.26881</v>
      </c>
      <c r="G81" s="28"/>
      <c r="H81" s="42"/>
    </row>
    <row r="82" spans="1:8" ht="12.75" customHeight="1">
      <c r="A82" s="26">
        <v>43867</v>
      </c>
      <c r="B82" s="27"/>
      <c r="C82" s="30">
        <f>ROUND(99.47008,5)</f>
        <v>99.47008</v>
      </c>
      <c r="D82" s="30">
        <f>F82</f>
        <v>105.36832</v>
      </c>
      <c r="E82" s="30">
        <f>F82</f>
        <v>105.36832</v>
      </c>
      <c r="F82" s="30">
        <f>ROUND(105.36832,5)</f>
        <v>105.36832</v>
      </c>
      <c r="G82" s="28"/>
      <c r="H82" s="42"/>
    </row>
    <row r="83" spans="1:8" ht="12.75" customHeight="1">
      <c r="A83" s="26">
        <v>43958</v>
      </c>
      <c r="B83" s="27"/>
      <c r="C83" s="30">
        <f>ROUND(99.47008,5)</f>
        <v>99.47008</v>
      </c>
      <c r="D83" s="30">
        <f>F83</f>
        <v>106.20638</v>
      </c>
      <c r="E83" s="30">
        <f>F83</f>
        <v>106.20638</v>
      </c>
      <c r="F83" s="30">
        <f>ROUND(106.20638,5)</f>
        <v>106.20638</v>
      </c>
      <c r="G83" s="28"/>
      <c r="H83" s="42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2"/>
    </row>
    <row r="85" spans="1:8" ht="12.75" customHeight="1">
      <c r="A85" s="26">
        <v>43587</v>
      </c>
      <c r="B85" s="27"/>
      <c r="C85" s="30">
        <f>ROUND(9.28,5)</f>
        <v>9.28</v>
      </c>
      <c r="D85" s="30">
        <f>F85</f>
        <v>9.31276</v>
      </c>
      <c r="E85" s="30">
        <f>F85</f>
        <v>9.31276</v>
      </c>
      <c r="F85" s="30">
        <f>ROUND(9.31276,5)</f>
        <v>9.31276</v>
      </c>
      <c r="G85" s="28"/>
      <c r="H85" s="42"/>
    </row>
    <row r="86" spans="1:8" ht="12.75" customHeight="1">
      <c r="A86" s="26">
        <v>43678</v>
      </c>
      <c r="B86" s="27"/>
      <c r="C86" s="30">
        <f>ROUND(9.28,5)</f>
        <v>9.28</v>
      </c>
      <c r="D86" s="30">
        <f>F86</f>
        <v>9.3794</v>
      </c>
      <c r="E86" s="30">
        <f>F86</f>
        <v>9.3794</v>
      </c>
      <c r="F86" s="30">
        <f>ROUND(9.3794,5)</f>
        <v>9.3794</v>
      </c>
      <c r="G86" s="28"/>
      <c r="H86" s="42"/>
    </row>
    <row r="87" spans="1:8" ht="12.75" customHeight="1">
      <c r="A87" s="26">
        <v>43776</v>
      </c>
      <c r="B87" s="27"/>
      <c r="C87" s="30">
        <f>ROUND(9.28,5)</f>
        <v>9.28</v>
      </c>
      <c r="D87" s="30">
        <f>F87</f>
        <v>9.43577</v>
      </c>
      <c r="E87" s="30">
        <f>F87</f>
        <v>9.43577</v>
      </c>
      <c r="F87" s="30">
        <f>ROUND(9.43577,5)</f>
        <v>9.43577</v>
      </c>
      <c r="G87" s="28"/>
      <c r="H87" s="42"/>
    </row>
    <row r="88" spans="1:8" ht="12.75" customHeight="1">
      <c r="A88" s="26">
        <v>43867</v>
      </c>
      <c r="B88" s="27"/>
      <c r="C88" s="30">
        <f>ROUND(9.28,5)</f>
        <v>9.28</v>
      </c>
      <c r="D88" s="30">
        <f>F88</f>
        <v>9.48193</v>
      </c>
      <c r="E88" s="30">
        <f>F88</f>
        <v>9.48193</v>
      </c>
      <c r="F88" s="30">
        <f>ROUND(9.48193,5)</f>
        <v>9.48193</v>
      </c>
      <c r="G88" s="28"/>
      <c r="H88" s="42"/>
    </row>
    <row r="89" spans="1:8" ht="12.75" customHeight="1">
      <c r="A89" s="26">
        <v>43958</v>
      </c>
      <c r="B89" s="27"/>
      <c r="C89" s="30">
        <f>ROUND(9.28,5)</f>
        <v>9.28</v>
      </c>
      <c r="D89" s="30">
        <f>F89</f>
        <v>9.56067</v>
      </c>
      <c r="E89" s="30">
        <f>F89</f>
        <v>9.56067</v>
      </c>
      <c r="F89" s="30">
        <f>ROUND(9.56067,5)</f>
        <v>9.56067</v>
      </c>
      <c r="G89" s="28"/>
      <c r="H89" s="42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2"/>
    </row>
    <row r="91" spans="1:8" ht="12.75" customHeight="1">
      <c r="A91" s="26">
        <v>43587</v>
      </c>
      <c r="B91" s="27"/>
      <c r="C91" s="30">
        <f>ROUND(9.51,5)</f>
        <v>9.51</v>
      </c>
      <c r="D91" s="30">
        <f>F91</f>
        <v>9.54145</v>
      </c>
      <c r="E91" s="30">
        <f>F91</f>
        <v>9.54145</v>
      </c>
      <c r="F91" s="30">
        <f>ROUND(9.54145,5)</f>
        <v>9.54145</v>
      </c>
      <c r="G91" s="28"/>
      <c r="H91" s="42"/>
    </row>
    <row r="92" spans="1:8" ht="12.75" customHeight="1">
      <c r="A92" s="26">
        <v>43678</v>
      </c>
      <c r="B92" s="27"/>
      <c r="C92" s="30">
        <f>ROUND(9.51,5)</f>
        <v>9.51</v>
      </c>
      <c r="D92" s="30">
        <f>F92</f>
        <v>9.60584</v>
      </c>
      <c r="E92" s="30">
        <f>F92</f>
        <v>9.60584</v>
      </c>
      <c r="F92" s="30">
        <f>ROUND(9.60584,5)</f>
        <v>9.60584</v>
      </c>
      <c r="G92" s="28"/>
      <c r="H92" s="42"/>
    </row>
    <row r="93" spans="1:8" ht="12.75" customHeight="1">
      <c r="A93" s="26">
        <v>43776</v>
      </c>
      <c r="B93" s="27"/>
      <c r="C93" s="30">
        <f>ROUND(9.51,5)</f>
        <v>9.51</v>
      </c>
      <c r="D93" s="30">
        <f>F93</f>
        <v>9.66766</v>
      </c>
      <c r="E93" s="30">
        <f>F93</f>
        <v>9.66766</v>
      </c>
      <c r="F93" s="30">
        <f>ROUND(9.66766,5)</f>
        <v>9.66766</v>
      </c>
      <c r="G93" s="28"/>
      <c r="H93" s="42"/>
    </row>
    <row r="94" spans="1:8" ht="12.75" customHeight="1">
      <c r="A94" s="26">
        <v>43867</v>
      </c>
      <c r="B94" s="27"/>
      <c r="C94" s="30">
        <f>ROUND(9.51,5)</f>
        <v>9.51</v>
      </c>
      <c r="D94" s="30">
        <f>F94</f>
        <v>9.71813</v>
      </c>
      <c r="E94" s="30">
        <f>F94</f>
        <v>9.71813</v>
      </c>
      <c r="F94" s="30">
        <f>ROUND(9.71813,5)</f>
        <v>9.71813</v>
      </c>
      <c r="G94" s="28"/>
      <c r="H94" s="42"/>
    </row>
    <row r="95" spans="1:8" ht="12.75" customHeight="1">
      <c r="A95" s="26">
        <v>43958</v>
      </c>
      <c r="B95" s="27"/>
      <c r="C95" s="30">
        <f>ROUND(9.51,5)</f>
        <v>9.51</v>
      </c>
      <c r="D95" s="30">
        <f>F95</f>
        <v>9.79576</v>
      </c>
      <c r="E95" s="30">
        <f>F95</f>
        <v>9.79576</v>
      </c>
      <c r="F95" s="30">
        <f>ROUND(9.79576,5)</f>
        <v>9.79576</v>
      </c>
      <c r="G95" s="28"/>
      <c r="H95" s="42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2"/>
    </row>
    <row r="97" spans="1:8" ht="12.75" customHeight="1">
      <c r="A97" s="26">
        <v>43587</v>
      </c>
      <c r="B97" s="27"/>
      <c r="C97" s="30">
        <f>ROUND(101.64265,5)</f>
        <v>101.64265</v>
      </c>
      <c r="D97" s="30">
        <f>F97</f>
        <v>102.5027</v>
      </c>
      <c r="E97" s="30">
        <f>F97</f>
        <v>102.5027</v>
      </c>
      <c r="F97" s="30">
        <f>ROUND(102.5027,5)</f>
        <v>102.5027</v>
      </c>
      <c r="G97" s="28"/>
      <c r="H97" s="42"/>
    </row>
    <row r="98" spans="1:8" ht="12.75" customHeight="1">
      <c r="A98" s="26">
        <v>43678</v>
      </c>
      <c r="B98" s="27"/>
      <c r="C98" s="30">
        <f>ROUND(101.64265,5)</f>
        <v>101.64265</v>
      </c>
      <c r="D98" s="30">
        <f>F98</f>
        <v>104.44284</v>
      </c>
      <c r="E98" s="30">
        <f>F98</f>
        <v>104.44284</v>
      </c>
      <c r="F98" s="30">
        <f>ROUND(104.44284,5)</f>
        <v>104.44284</v>
      </c>
      <c r="G98" s="28"/>
      <c r="H98" s="42"/>
    </row>
    <row r="99" spans="1:8" ht="12.75" customHeight="1">
      <c r="A99" s="26">
        <v>43776</v>
      </c>
      <c r="B99" s="27"/>
      <c r="C99" s="30">
        <f>ROUND(101.64265,5)</f>
        <v>101.64265</v>
      </c>
      <c r="D99" s="30">
        <f>F99</f>
        <v>105.47243</v>
      </c>
      <c r="E99" s="30">
        <f>F99</f>
        <v>105.47243</v>
      </c>
      <c r="F99" s="30">
        <f>ROUND(105.47243,5)</f>
        <v>105.47243</v>
      </c>
      <c r="G99" s="28"/>
      <c r="H99" s="42"/>
    </row>
    <row r="100" spans="1:8" ht="12.75" customHeight="1">
      <c r="A100" s="26">
        <v>43867</v>
      </c>
      <c r="B100" s="27"/>
      <c r="C100" s="30">
        <f>ROUND(101.64265,5)</f>
        <v>101.64265</v>
      </c>
      <c r="D100" s="30">
        <f>F100</f>
        <v>107.61662</v>
      </c>
      <c r="E100" s="30">
        <f>F100</f>
        <v>107.61662</v>
      </c>
      <c r="F100" s="30">
        <f>ROUND(107.61662,5)</f>
        <v>107.61662</v>
      </c>
      <c r="G100" s="28"/>
      <c r="H100" s="42"/>
    </row>
    <row r="101" spans="1:8" ht="12.75" customHeight="1">
      <c r="A101" s="26">
        <v>43958</v>
      </c>
      <c r="B101" s="27"/>
      <c r="C101" s="30">
        <f>ROUND(101.64265,5)</f>
        <v>101.64265</v>
      </c>
      <c r="D101" s="30">
        <f>F101</f>
        <v>108.41215</v>
      </c>
      <c r="E101" s="30">
        <f>F101</f>
        <v>108.41215</v>
      </c>
      <c r="F101" s="30">
        <f>ROUND(108.41215,5)</f>
        <v>108.41215</v>
      </c>
      <c r="G101" s="28"/>
      <c r="H101" s="42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2"/>
    </row>
    <row r="103" spans="1:8" ht="12.75" customHeight="1">
      <c r="A103" s="26">
        <v>43587</v>
      </c>
      <c r="B103" s="27"/>
      <c r="C103" s="30">
        <f>ROUND(9.785,5)</f>
        <v>9.785</v>
      </c>
      <c r="D103" s="30">
        <f>F103</f>
        <v>9.81815</v>
      </c>
      <c r="E103" s="30">
        <f>F103</f>
        <v>9.81815</v>
      </c>
      <c r="F103" s="30">
        <f>ROUND(9.81815,5)</f>
        <v>9.81815</v>
      </c>
      <c r="G103" s="28"/>
      <c r="H103" s="42"/>
    </row>
    <row r="104" spans="1:8" ht="12.75" customHeight="1">
      <c r="A104" s="26">
        <v>43678</v>
      </c>
      <c r="B104" s="27"/>
      <c r="C104" s="30">
        <f>ROUND(9.785,5)</f>
        <v>9.785</v>
      </c>
      <c r="D104" s="30">
        <f>F104</f>
        <v>9.88656</v>
      </c>
      <c r="E104" s="30">
        <f>F104</f>
        <v>9.88656</v>
      </c>
      <c r="F104" s="30">
        <f>ROUND(9.88656,5)</f>
        <v>9.88656</v>
      </c>
      <c r="G104" s="28"/>
      <c r="H104" s="42"/>
    </row>
    <row r="105" spans="1:8" ht="12.75" customHeight="1">
      <c r="A105" s="26">
        <v>43776</v>
      </c>
      <c r="B105" s="27"/>
      <c r="C105" s="30">
        <f>ROUND(9.785,5)</f>
        <v>9.785</v>
      </c>
      <c r="D105" s="30">
        <f>F105</f>
        <v>9.94704</v>
      </c>
      <c r="E105" s="30">
        <f>F105</f>
        <v>9.94704</v>
      </c>
      <c r="F105" s="30">
        <f>ROUND(9.94704,5)</f>
        <v>9.94704</v>
      </c>
      <c r="G105" s="28"/>
      <c r="H105" s="42"/>
    </row>
    <row r="106" spans="1:8" ht="12.75" customHeight="1">
      <c r="A106" s="26">
        <v>43867</v>
      </c>
      <c r="B106" s="27"/>
      <c r="C106" s="30">
        <f>ROUND(9.785,5)</f>
        <v>9.785</v>
      </c>
      <c r="D106" s="30">
        <f>F106</f>
        <v>9.99856</v>
      </c>
      <c r="E106" s="30">
        <f>F106</f>
        <v>9.99856</v>
      </c>
      <c r="F106" s="30">
        <f>ROUND(9.99856,5)</f>
        <v>9.99856</v>
      </c>
      <c r="G106" s="28"/>
      <c r="H106" s="42"/>
    </row>
    <row r="107" spans="1:8" ht="12.75" customHeight="1">
      <c r="A107" s="26">
        <v>43958</v>
      </c>
      <c r="B107" s="27"/>
      <c r="C107" s="30">
        <f>ROUND(9.785,5)</f>
        <v>9.785</v>
      </c>
      <c r="D107" s="30">
        <f>F107</f>
        <v>10.07543</v>
      </c>
      <c r="E107" s="30">
        <f>F107</f>
        <v>10.07543</v>
      </c>
      <c r="F107" s="30">
        <f>ROUND(10.07543,5)</f>
        <v>10.07543</v>
      </c>
      <c r="G107" s="28"/>
      <c r="H107" s="42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2"/>
    </row>
    <row r="109" spans="1:8" ht="12.75" customHeight="1">
      <c r="A109" s="26">
        <v>43587</v>
      </c>
      <c r="B109" s="27"/>
      <c r="C109" s="30">
        <f>ROUND(3.27,5)</f>
        <v>3.27</v>
      </c>
      <c r="D109" s="30">
        <f>F109</f>
        <v>122.36001</v>
      </c>
      <c r="E109" s="30">
        <f>F109</f>
        <v>122.36001</v>
      </c>
      <c r="F109" s="30">
        <f>ROUND(122.36001,5)</f>
        <v>122.36001</v>
      </c>
      <c r="G109" s="28"/>
      <c r="H109" s="42"/>
    </row>
    <row r="110" spans="1:8" ht="12.75" customHeight="1">
      <c r="A110" s="26">
        <v>43678</v>
      </c>
      <c r="B110" s="27"/>
      <c r="C110" s="30">
        <f>ROUND(3.27,5)</f>
        <v>3.27</v>
      </c>
      <c r="D110" s="30">
        <f>F110</f>
        <v>123.03688</v>
      </c>
      <c r="E110" s="30">
        <f>F110</f>
        <v>123.03688</v>
      </c>
      <c r="F110" s="30">
        <f>ROUND(123.03688,5)</f>
        <v>123.03688</v>
      </c>
      <c r="G110" s="28"/>
      <c r="H110" s="42"/>
    </row>
    <row r="111" spans="1:8" ht="12.75" customHeight="1">
      <c r="A111" s="26">
        <v>43776</v>
      </c>
      <c r="B111" s="27"/>
      <c r="C111" s="30">
        <f>ROUND(3.27,5)</f>
        <v>3.27</v>
      </c>
      <c r="D111" s="30">
        <f>F111</f>
        <v>125.64446</v>
      </c>
      <c r="E111" s="30">
        <f>F111</f>
        <v>125.64446</v>
      </c>
      <c r="F111" s="30">
        <f>ROUND(125.64446,5)</f>
        <v>125.64446</v>
      </c>
      <c r="G111" s="28"/>
      <c r="H111" s="42"/>
    </row>
    <row r="112" spans="1:8" ht="12.75" customHeight="1">
      <c r="A112" s="26">
        <v>43867</v>
      </c>
      <c r="B112" s="27"/>
      <c r="C112" s="30">
        <f>ROUND(3.27,5)</f>
        <v>3.27</v>
      </c>
      <c r="D112" s="30">
        <f>F112</f>
        <v>126.52164</v>
      </c>
      <c r="E112" s="30">
        <f>F112</f>
        <v>126.52164</v>
      </c>
      <c r="F112" s="30">
        <f>ROUND(126.52164,5)</f>
        <v>126.52164</v>
      </c>
      <c r="G112" s="28"/>
      <c r="H112" s="42"/>
    </row>
    <row r="113" spans="1:8" ht="12.75" customHeight="1">
      <c r="A113" s="26">
        <v>43958</v>
      </c>
      <c r="B113" s="27"/>
      <c r="C113" s="30">
        <f>ROUND(3.27,5)</f>
        <v>3.27</v>
      </c>
      <c r="D113" s="30">
        <f>F113</f>
        <v>128.87819</v>
      </c>
      <c r="E113" s="30">
        <f>F113</f>
        <v>128.87819</v>
      </c>
      <c r="F113" s="30">
        <f>ROUND(128.87819,5)</f>
        <v>128.87819</v>
      </c>
      <c r="G113" s="28"/>
      <c r="H113" s="42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2"/>
    </row>
    <row r="115" spans="1:8" ht="12.75" customHeight="1">
      <c r="A115" s="26">
        <v>43587</v>
      </c>
      <c r="B115" s="27"/>
      <c r="C115" s="30">
        <f>ROUND(9.88,5)</f>
        <v>9.88</v>
      </c>
      <c r="D115" s="30">
        <f>F115</f>
        <v>9.91319</v>
      </c>
      <c r="E115" s="30">
        <f>F115</f>
        <v>9.91319</v>
      </c>
      <c r="F115" s="30">
        <f>ROUND(9.91319,5)</f>
        <v>9.91319</v>
      </c>
      <c r="G115" s="28"/>
      <c r="H115" s="42"/>
    </row>
    <row r="116" spans="1:8" ht="12.75" customHeight="1">
      <c r="A116" s="26">
        <v>43678</v>
      </c>
      <c r="B116" s="27"/>
      <c r="C116" s="30">
        <f>ROUND(9.88,5)</f>
        <v>9.88</v>
      </c>
      <c r="D116" s="30">
        <f>F116</f>
        <v>9.98182</v>
      </c>
      <c r="E116" s="30">
        <f>F116</f>
        <v>9.98182</v>
      </c>
      <c r="F116" s="30">
        <f>ROUND(9.98182,5)</f>
        <v>9.98182</v>
      </c>
      <c r="G116" s="28"/>
      <c r="H116" s="42"/>
    </row>
    <row r="117" spans="1:8" ht="12.75" customHeight="1">
      <c r="A117" s="26">
        <v>43776</v>
      </c>
      <c r="B117" s="27"/>
      <c r="C117" s="30">
        <f>ROUND(9.88,5)</f>
        <v>9.88</v>
      </c>
      <c r="D117" s="30">
        <f>F117</f>
        <v>10.04285</v>
      </c>
      <c r="E117" s="30">
        <f>F117</f>
        <v>10.04285</v>
      </c>
      <c r="F117" s="30">
        <f>ROUND(10.04285,5)</f>
        <v>10.04285</v>
      </c>
      <c r="G117" s="28"/>
      <c r="H117" s="42"/>
    </row>
    <row r="118" spans="1:8" ht="12.75" customHeight="1">
      <c r="A118" s="26">
        <v>43867</v>
      </c>
      <c r="B118" s="27"/>
      <c r="C118" s="30">
        <f>ROUND(9.88,5)</f>
        <v>9.88</v>
      </c>
      <c r="D118" s="30">
        <f>F118</f>
        <v>10.09511</v>
      </c>
      <c r="E118" s="30">
        <f>F118</f>
        <v>10.09511</v>
      </c>
      <c r="F118" s="30">
        <f>ROUND(10.09511,5)</f>
        <v>10.09511</v>
      </c>
      <c r="G118" s="28"/>
      <c r="H118" s="42"/>
    </row>
    <row r="119" spans="1:8" ht="12.75" customHeight="1">
      <c r="A119" s="26">
        <v>43958</v>
      </c>
      <c r="B119" s="27"/>
      <c r="C119" s="30">
        <f>ROUND(9.88,5)</f>
        <v>9.88</v>
      </c>
      <c r="D119" s="30">
        <f>F119</f>
        <v>10.17167</v>
      </c>
      <c r="E119" s="30">
        <f>F119</f>
        <v>10.17167</v>
      </c>
      <c r="F119" s="30">
        <f>ROUND(10.17167,5)</f>
        <v>10.17167</v>
      </c>
      <c r="G119" s="28"/>
      <c r="H119" s="42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2"/>
    </row>
    <row r="121" spans="1:8" ht="12.75" customHeight="1">
      <c r="A121" s="26">
        <v>43587</v>
      </c>
      <c r="B121" s="27"/>
      <c r="C121" s="30">
        <f>ROUND(9.875,5)</f>
        <v>9.875</v>
      </c>
      <c r="D121" s="30">
        <f>F121</f>
        <v>9.90648</v>
      </c>
      <c r="E121" s="30">
        <f>F121</f>
        <v>9.90648</v>
      </c>
      <c r="F121" s="30">
        <f>ROUND(9.90648,5)</f>
        <v>9.90648</v>
      </c>
      <c r="G121" s="28"/>
      <c r="H121" s="42"/>
    </row>
    <row r="122" spans="1:8" ht="12.75" customHeight="1">
      <c r="A122" s="26">
        <v>43678</v>
      </c>
      <c r="B122" s="27"/>
      <c r="C122" s="30">
        <f>ROUND(9.875,5)</f>
        <v>9.875</v>
      </c>
      <c r="D122" s="30">
        <f>F122</f>
        <v>9.97145</v>
      </c>
      <c r="E122" s="30">
        <f>F122</f>
        <v>9.97145</v>
      </c>
      <c r="F122" s="30">
        <f>ROUND(9.97145,5)</f>
        <v>9.97145</v>
      </c>
      <c r="G122" s="28"/>
      <c r="H122" s="42"/>
    </row>
    <row r="123" spans="1:8" ht="12.75" customHeight="1">
      <c r="A123" s="26">
        <v>43776</v>
      </c>
      <c r="B123" s="27"/>
      <c r="C123" s="30">
        <f>ROUND(9.875,5)</f>
        <v>9.875</v>
      </c>
      <c r="D123" s="30">
        <f>F123</f>
        <v>10.02903</v>
      </c>
      <c r="E123" s="30">
        <f>F123</f>
        <v>10.02903</v>
      </c>
      <c r="F123" s="30">
        <f>ROUND(10.02903,5)</f>
        <v>10.02903</v>
      </c>
      <c r="G123" s="28"/>
      <c r="H123" s="42"/>
    </row>
    <row r="124" spans="1:8" ht="12.75" customHeight="1">
      <c r="A124" s="26">
        <v>43867</v>
      </c>
      <c r="B124" s="27"/>
      <c r="C124" s="30">
        <f>ROUND(9.875,5)</f>
        <v>9.875</v>
      </c>
      <c r="D124" s="30">
        <f>F124</f>
        <v>10.07816</v>
      </c>
      <c r="E124" s="30">
        <f>F124</f>
        <v>10.07816</v>
      </c>
      <c r="F124" s="30">
        <f>ROUND(10.07816,5)</f>
        <v>10.07816</v>
      </c>
      <c r="G124" s="28"/>
      <c r="H124" s="42"/>
    </row>
    <row r="125" spans="1:8" ht="12.75" customHeight="1">
      <c r="A125" s="26">
        <v>43958</v>
      </c>
      <c r="B125" s="27"/>
      <c r="C125" s="30">
        <f>ROUND(9.875,5)</f>
        <v>9.875</v>
      </c>
      <c r="D125" s="30">
        <f>F125</f>
        <v>10.15014</v>
      </c>
      <c r="E125" s="30">
        <f>F125</f>
        <v>10.15014</v>
      </c>
      <c r="F125" s="30">
        <f>ROUND(10.15014,5)</f>
        <v>10.15014</v>
      </c>
      <c r="G125" s="28"/>
      <c r="H125" s="42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2"/>
    </row>
    <row r="127" spans="1:8" ht="12.75" customHeight="1">
      <c r="A127" s="26">
        <v>43587</v>
      </c>
      <c r="B127" s="27"/>
      <c r="C127" s="30">
        <f>ROUND(113.28112,5)</f>
        <v>113.28112</v>
      </c>
      <c r="D127" s="30">
        <f>F127</f>
        <v>114.23962</v>
      </c>
      <c r="E127" s="30">
        <f>F127</f>
        <v>114.23962</v>
      </c>
      <c r="F127" s="30">
        <f>ROUND(114.23962,5)</f>
        <v>114.23962</v>
      </c>
      <c r="G127" s="28"/>
      <c r="H127" s="42"/>
    </row>
    <row r="128" spans="1:8" ht="12.75" customHeight="1">
      <c r="A128" s="26">
        <v>43678</v>
      </c>
      <c r="B128" s="27"/>
      <c r="C128" s="30">
        <f>ROUND(113.28112,5)</f>
        <v>113.28112</v>
      </c>
      <c r="D128" s="30">
        <f>F128</f>
        <v>116.40196</v>
      </c>
      <c r="E128" s="30">
        <f>F128</f>
        <v>116.40196</v>
      </c>
      <c r="F128" s="30">
        <f>ROUND(116.40196,5)</f>
        <v>116.40196</v>
      </c>
      <c r="G128" s="28"/>
      <c r="H128" s="42"/>
    </row>
    <row r="129" spans="1:8" ht="12.75" customHeight="1">
      <c r="A129" s="26">
        <v>43776</v>
      </c>
      <c r="B129" s="27"/>
      <c r="C129" s="30">
        <f>ROUND(113.28112,5)</f>
        <v>113.28112</v>
      </c>
      <c r="D129" s="30">
        <f>F129</f>
        <v>117.12837</v>
      </c>
      <c r="E129" s="30">
        <f>F129</f>
        <v>117.12837</v>
      </c>
      <c r="F129" s="30">
        <f>ROUND(117.12837,5)</f>
        <v>117.12837</v>
      </c>
      <c r="G129" s="28"/>
      <c r="H129" s="42"/>
    </row>
    <row r="130" spans="1:8" ht="12.75" customHeight="1">
      <c r="A130" s="26">
        <v>43867</v>
      </c>
      <c r="B130" s="27"/>
      <c r="C130" s="30">
        <f>ROUND(113.28112,5)</f>
        <v>113.28112</v>
      </c>
      <c r="D130" s="30">
        <f>F130</f>
        <v>119.50988</v>
      </c>
      <c r="E130" s="30">
        <f>F130</f>
        <v>119.50988</v>
      </c>
      <c r="F130" s="30">
        <f>ROUND(119.50988,5)</f>
        <v>119.50988</v>
      </c>
      <c r="G130" s="28"/>
      <c r="H130" s="42"/>
    </row>
    <row r="131" spans="1:8" ht="12.75" customHeight="1">
      <c r="A131" s="26">
        <v>43958</v>
      </c>
      <c r="B131" s="27"/>
      <c r="C131" s="30">
        <f>ROUND(113.28112,5)</f>
        <v>113.28112</v>
      </c>
      <c r="D131" s="30">
        <f>F131</f>
        <v>119.96772</v>
      </c>
      <c r="E131" s="30">
        <f>F131</f>
        <v>119.96772</v>
      </c>
      <c r="F131" s="30">
        <f>ROUND(119.96772,5)</f>
        <v>119.96772</v>
      </c>
      <c r="G131" s="28"/>
      <c r="H131" s="42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2"/>
    </row>
    <row r="133" spans="1:8" ht="12.75" customHeight="1">
      <c r="A133" s="26">
        <v>43587</v>
      </c>
      <c r="B133" s="27"/>
      <c r="C133" s="30">
        <f>ROUND(3.335,5)</f>
        <v>3.335</v>
      </c>
      <c r="D133" s="30">
        <f>F133</f>
        <v>119.74442</v>
      </c>
      <c r="E133" s="30">
        <f>F133</f>
        <v>119.74442</v>
      </c>
      <c r="F133" s="30">
        <f>ROUND(119.74442,5)</f>
        <v>119.74442</v>
      </c>
      <c r="G133" s="28"/>
      <c r="H133" s="42"/>
    </row>
    <row r="134" spans="1:8" ht="12.75" customHeight="1">
      <c r="A134" s="26">
        <v>43678</v>
      </c>
      <c r="B134" s="27"/>
      <c r="C134" s="30">
        <f>ROUND(3.335,5)</f>
        <v>3.335</v>
      </c>
      <c r="D134" s="30">
        <f>F134</f>
        <v>120.1931</v>
      </c>
      <c r="E134" s="30">
        <f>F134</f>
        <v>120.1931</v>
      </c>
      <c r="F134" s="30">
        <f>ROUND(120.1931,5)</f>
        <v>120.1931</v>
      </c>
      <c r="G134" s="28"/>
      <c r="H134" s="42"/>
    </row>
    <row r="135" spans="1:8" ht="12.75" customHeight="1">
      <c r="A135" s="26">
        <v>43776</v>
      </c>
      <c r="B135" s="27"/>
      <c r="C135" s="30">
        <f>ROUND(3.335,5)</f>
        <v>3.335</v>
      </c>
      <c r="D135" s="30">
        <f>F135</f>
        <v>122.74019</v>
      </c>
      <c r="E135" s="30">
        <f>F135</f>
        <v>122.74019</v>
      </c>
      <c r="F135" s="30">
        <f>ROUND(122.74019,5)</f>
        <v>122.74019</v>
      </c>
      <c r="G135" s="28"/>
      <c r="H135" s="42"/>
    </row>
    <row r="136" spans="1:8" ht="12.75" customHeight="1">
      <c r="A136" s="26">
        <v>43867</v>
      </c>
      <c r="B136" s="27"/>
      <c r="C136" s="30">
        <f>ROUND(3.335,5)</f>
        <v>3.335</v>
      </c>
      <c r="D136" s="30">
        <f>F136</f>
        <v>123.39765</v>
      </c>
      <c r="E136" s="30">
        <f>F136</f>
        <v>123.39765</v>
      </c>
      <c r="F136" s="30">
        <f>ROUND(123.39765,5)</f>
        <v>123.39765</v>
      </c>
      <c r="G136" s="28"/>
      <c r="H136" s="42"/>
    </row>
    <row r="137" spans="1:8" ht="12.75" customHeight="1">
      <c r="A137" s="26">
        <v>43958</v>
      </c>
      <c r="B137" s="27"/>
      <c r="C137" s="30">
        <f>ROUND(3.335,5)</f>
        <v>3.335</v>
      </c>
      <c r="D137" s="30">
        <f>F137</f>
        <v>125.6962</v>
      </c>
      <c r="E137" s="30">
        <f>F137</f>
        <v>125.6962</v>
      </c>
      <c r="F137" s="30">
        <f>ROUND(125.6962,5)</f>
        <v>125.6962</v>
      </c>
      <c r="G137" s="28"/>
      <c r="H137" s="42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2"/>
    </row>
    <row r="139" spans="1:8" ht="12.75" customHeight="1">
      <c r="A139" s="26">
        <v>43587</v>
      </c>
      <c r="B139" s="27"/>
      <c r="C139" s="30">
        <f>ROUND(4.07,5)</f>
        <v>4.07</v>
      </c>
      <c r="D139" s="30">
        <f>F139</f>
        <v>135.32655</v>
      </c>
      <c r="E139" s="30">
        <f>F139</f>
        <v>135.32655</v>
      </c>
      <c r="F139" s="30">
        <f>ROUND(135.32655,5)</f>
        <v>135.32655</v>
      </c>
      <c r="G139" s="28"/>
      <c r="H139" s="42"/>
    </row>
    <row r="140" spans="1:8" ht="12.75" customHeight="1">
      <c r="A140" s="26">
        <v>43678</v>
      </c>
      <c r="B140" s="27"/>
      <c r="C140" s="30">
        <f>ROUND(4.07,5)</f>
        <v>4.07</v>
      </c>
      <c r="D140" s="30">
        <f>F140</f>
        <v>130.01218</v>
      </c>
      <c r="E140" s="30">
        <f>F140</f>
        <v>130.01218</v>
      </c>
      <c r="F140" s="30">
        <f>ROUND(130.01218,5)</f>
        <v>130.01218</v>
      </c>
      <c r="G140" s="28"/>
      <c r="H140" s="42"/>
    </row>
    <row r="141" spans="1:8" ht="12.75" customHeight="1">
      <c r="A141" s="26">
        <v>43776</v>
      </c>
      <c r="B141" s="27"/>
      <c r="C141" s="30">
        <f>ROUND(4.07,5)</f>
        <v>4.07</v>
      </c>
      <c r="D141" s="30">
        <f>F141</f>
        <v>130.84969</v>
      </c>
      <c r="E141" s="30">
        <f>F141</f>
        <v>130.84969</v>
      </c>
      <c r="F141" s="30">
        <f>ROUND(130.84969,5)</f>
        <v>130.84969</v>
      </c>
      <c r="G141" s="28"/>
      <c r="H141" s="42"/>
    </row>
    <row r="142" spans="1:8" ht="12.75" customHeight="1">
      <c r="A142" s="26">
        <v>43867</v>
      </c>
      <c r="B142" s="27"/>
      <c r="C142" s="30">
        <f>ROUND(4.07,5)</f>
        <v>4.07</v>
      </c>
      <c r="D142" s="30">
        <f>F142</f>
        <v>133.51024</v>
      </c>
      <c r="E142" s="30">
        <f>F142</f>
        <v>133.51024</v>
      </c>
      <c r="F142" s="30">
        <f>ROUND(133.51024,5)</f>
        <v>133.51024</v>
      </c>
      <c r="G142" s="28"/>
      <c r="H142" s="42"/>
    </row>
    <row r="143" spans="1:8" ht="12.75" customHeight="1">
      <c r="A143" s="26">
        <v>43958</v>
      </c>
      <c r="B143" s="27"/>
      <c r="C143" s="30">
        <f>ROUND(4.07,5)</f>
        <v>4.07</v>
      </c>
      <c r="D143" s="30">
        <f>F143</f>
        <v>134.04155</v>
      </c>
      <c r="E143" s="30">
        <f>F143</f>
        <v>134.04155</v>
      </c>
      <c r="F143" s="30">
        <f>ROUND(134.04155,5)</f>
        <v>134.04155</v>
      </c>
      <c r="G143" s="28"/>
      <c r="H143" s="42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2"/>
    </row>
    <row r="145" spans="1:8" ht="12.75" customHeight="1">
      <c r="A145" s="26">
        <v>43587</v>
      </c>
      <c r="B145" s="27"/>
      <c r="C145" s="30">
        <f>ROUND(10.96,5)</f>
        <v>10.96</v>
      </c>
      <c r="D145" s="30">
        <f>F145</f>
        <v>11.01069</v>
      </c>
      <c r="E145" s="30">
        <f>F145</f>
        <v>11.01069</v>
      </c>
      <c r="F145" s="30">
        <f>ROUND(11.01069,5)</f>
        <v>11.01069</v>
      </c>
      <c r="G145" s="28"/>
      <c r="H145" s="42"/>
    </row>
    <row r="146" spans="1:8" ht="12.75" customHeight="1">
      <c r="A146" s="26">
        <v>43678</v>
      </c>
      <c r="B146" s="27"/>
      <c r="C146" s="30">
        <f>ROUND(10.96,5)</f>
        <v>10.96</v>
      </c>
      <c r="D146" s="30">
        <f>F146</f>
        <v>11.11918</v>
      </c>
      <c r="E146" s="30">
        <f>F146</f>
        <v>11.11918</v>
      </c>
      <c r="F146" s="30">
        <f>ROUND(11.11918,5)</f>
        <v>11.11918</v>
      </c>
      <c r="G146" s="28"/>
      <c r="H146" s="42"/>
    </row>
    <row r="147" spans="1:8" ht="12.75" customHeight="1">
      <c r="A147" s="26">
        <v>43776</v>
      </c>
      <c r="B147" s="27"/>
      <c r="C147" s="30">
        <f>ROUND(10.96,5)</f>
        <v>10.96</v>
      </c>
      <c r="D147" s="30">
        <f>F147</f>
        <v>11.23255</v>
      </c>
      <c r="E147" s="30">
        <f>F147</f>
        <v>11.23255</v>
      </c>
      <c r="F147" s="30">
        <f>ROUND(11.23255,5)</f>
        <v>11.23255</v>
      </c>
      <c r="G147" s="28"/>
      <c r="H147" s="42"/>
    </row>
    <row r="148" spans="1:8" ht="12.75" customHeight="1">
      <c r="A148" s="26">
        <v>43867</v>
      </c>
      <c r="B148" s="27"/>
      <c r="C148" s="30">
        <f>ROUND(10.96,5)</f>
        <v>10.96</v>
      </c>
      <c r="D148" s="30">
        <f>F148</f>
        <v>11.33561</v>
      </c>
      <c r="E148" s="30">
        <f>F148</f>
        <v>11.33561</v>
      </c>
      <c r="F148" s="30">
        <f>ROUND(11.33561,5)</f>
        <v>11.33561</v>
      </c>
      <c r="G148" s="28"/>
      <c r="H148" s="42"/>
    </row>
    <row r="149" spans="1:8" ht="12.75" customHeight="1">
      <c r="A149" s="26">
        <v>43958</v>
      </c>
      <c r="B149" s="27"/>
      <c r="C149" s="30">
        <f>ROUND(10.96,5)</f>
        <v>10.96</v>
      </c>
      <c r="D149" s="30">
        <f>F149</f>
        <v>11.46416</v>
      </c>
      <c r="E149" s="30">
        <f>F149</f>
        <v>11.46416</v>
      </c>
      <c r="F149" s="30">
        <f>ROUND(11.46416,5)</f>
        <v>11.46416</v>
      </c>
      <c r="G149" s="28"/>
      <c r="H149" s="42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2"/>
    </row>
    <row r="151" spans="1:8" ht="12.75" customHeight="1">
      <c r="A151" s="26">
        <v>43587</v>
      </c>
      <c r="B151" s="27"/>
      <c r="C151" s="30">
        <f>ROUND(11.22,5)</f>
        <v>11.22</v>
      </c>
      <c r="D151" s="30">
        <f>F151</f>
        <v>11.27222</v>
      </c>
      <c r="E151" s="30">
        <f>F151</f>
        <v>11.27222</v>
      </c>
      <c r="F151" s="30">
        <f>ROUND(11.27222,5)</f>
        <v>11.27222</v>
      </c>
      <c r="G151" s="28"/>
      <c r="H151" s="42"/>
    </row>
    <row r="152" spans="1:8" ht="12.75" customHeight="1">
      <c r="A152" s="26">
        <v>43678</v>
      </c>
      <c r="B152" s="27"/>
      <c r="C152" s="30">
        <f>ROUND(11.22,5)</f>
        <v>11.22</v>
      </c>
      <c r="D152" s="30">
        <f>F152</f>
        <v>11.37877</v>
      </c>
      <c r="E152" s="30">
        <f>F152</f>
        <v>11.37877</v>
      </c>
      <c r="F152" s="30">
        <f>ROUND(11.37877,5)</f>
        <v>11.37877</v>
      </c>
      <c r="G152" s="28"/>
      <c r="H152" s="42"/>
    </row>
    <row r="153" spans="1:8" ht="12.75" customHeight="1">
      <c r="A153" s="26">
        <v>43776</v>
      </c>
      <c r="B153" s="27"/>
      <c r="C153" s="30">
        <f>ROUND(11.22,5)</f>
        <v>11.22</v>
      </c>
      <c r="D153" s="30">
        <f>F153</f>
        <v>11.49034</v>
      </c>
      <c r="E153" s="30">
        <f>F153</f>
        <v>11.49034</v>
      </c>
      <c r="F153" s="30">
        <f>ROUND(11.49034,5)</f>
        <v>11.49034</v>
      </c>
      <c r="G153" s="28"/>
      <c r="H153" s="42"/>
    </row>
    <row r="154" spans="1:8" ht="12.75" customHeight="1">
      <c r="A154" s="26">
        <v>43867</v>
      </c>
      <c r="B154" s="27"/>
      <c r="C154" s="30">
        <f>ROUND(11.22,5)</f>
        <v>11.22</v>
      </c>
      <c r="D154" s="30">
        <f>F154</f>
        <v>11.58778</v>
      </c>
      <c r="E154" s="30">
        <f>F154</f>
        <v>11.58778</v>
      </c>
      <c r="F154" s="30">
        <f>ROUND(11.58778,5)</f>
        <v>11.58778</v>
      </c>
      <c r="G154" s="28"/>
      <c r="H154" s="42"/>
    </row>
    <row r="155" spans="1:8" ht="12.75" customHeight="1">
      <c r="A155" s="26">
        <v>43958</v>
      </c>
      <c r="B155" s="27"/>
      <c r="C155" s="30">
        <f>ROUND(11.22,5)</f>
        <v>11.22</v>
      </c>
      <c r="D155" s="30">
        <f>F155</f>
        <v>11.7127</v>
      </c>
      <c r="E155" s="30">
        <f>F155</f>
        <v>11.7127</v>
      </c>
      <c r="F155" s="30">
        <f>ROUND(11.7127,5)</f>
        <v>11.7127</v>
      </c>
      <c r="G155" s="28"/>
      <c r="H155" s="42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2"/>
    </row>
    <row r="157" spans="1:8" ht="12.75" customHeight="1">
      <c r="A157" s="26">
        <v>43587</v>
      </c>
      <c r="B157" s="27"/>
      <c r="C157" s="30">
        <f>ROUND(7.865,5)</f>
        <v>7.865</v>
      </c>
      <c r="D157" s="30">
        <f>F157</f>
        <v>7.88037</v>
      </c>
      <c r="E157" s="30">
        <f>F157</f>
        <v>7.88037</v>
      </c>
      <c r="F157" s="30">
        <f>ROUND(7.88037,5)</f>
        <v>7.88037</v>
      </c>
      <c r="G157" s="28"/>
      <c r="H157" s="42"/>
    </row>
    <row r="158" spans="1:8" ht="12.75" customHeight="1">
      <c r="A158" s="26">
        <v>43678</v>
      </c>
      <c r="B158" s="27"/>
      <c r="C158" s="30">
        <f>ROUND(7.865,5)</f>
        <v>7.865</v>
      </c>
      <c r="D158" s="30">
        <f>F158</f>
        <v>7.90068</v>
      </c>
      <c r="E158" s="30">
        <f>F158</f>
        <v>7.90068</v>
      </c>
      <c r="F158" s="30">
        <f>ROUND(7.90068,5)</f>
        <v>7.90068</v>
      </c>
      <c r="G158" s="28"/>
      <c r="H158" s="42"/>
    </row>
    <row r="159" spans="1:8" ht="12.75" customHeight="1">
      <c r="A159" s="26">
        <v>43776</v>
      </c>
      <c r="B159" s="27"/>
      <c r="C159" s="30">
        <f>ROUND(7.865,5)</f>
        <v>7.865</v>
      </c>
      <c r="D159" s="30">
        <f>F159</f>
        <v>7.90648</v>
      </c>
      <c r="E159" s="30">
        <f>F159</f>
        <v>7.90648</v>
      </c>
      <c r="F159" s="30">
        <f>ROUND(7.90648,5)</f>
        <v>7.90648</v>
      </c>
      <c r="G159" s="28"/>
      <c r="H159" s="42"/>
    </row>
    <row r="160" spans="1:8" ht="12.75" customHeight="1">
      <c r="A160" s="26">
        <v>43867</v>
      </c>
      <c r="B160" s="27"/>
      <c r="C160" s="30">
        <f>ROUND(7.865,5)</f>
        <v>7.865</v>
      </c>
      <c r="D160" s="30">
        <f>F160</f>
        <v>7.89019</v>
      </c>
      <c r="E160" s="30">
        <f>F160</f>
        <v>7.89019</v>
      </c>
      <c r="F160" s="30">
        <f>ROUND(7.89019,5)</f>
        <v>7.89019</v>
      </c>
      <c r="G160" s="28"/>
      <c r="H160" s="42"/>
    </row>
    <row r="161" spans="1:8" ht="12.75" customHeight="1">
      <c r="A161" s="26">
        <v>43958</v>
      </c>
      <c r="B161" s="27"/>
      <c r="C161" s="30">
        <f>ROUND(7.865,5)</f>
        <v>7.865</v>
      </c>
      <c r="D161" s="30">
        <f>F161</f>
        <v>7.92799</v>
      </c>
      <c r="E161" s="30">
        <f>F161</f>
        <v>7.92799</v>
      </c>
      <c r="F161" s="30">
        <f>ROUND(7.92799,5)</f>
        <v>7.92799</v>
      </c>
      <c r="G161" s="28"/>
      <c r="H161" s="42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2"/>
    </row>
    <row r="163" spans="1:8" ht="12.75" customHeight="1">
      <c r="A163" s="26">
        <v>43587</v>
      </c>
      <c r="B163" s="27"/>
      <c r="C163" s="30">
        <f>ROUND(9.71,5)</f>
        <v>9.71</v>
      </c>
      <c r="D163" s="30">
        <f>F163</f>
        <v>9.74135</v>
      </c>
      <c r="E163" s="30">
        <f>F163</f>
        <v>9.74135</v>
      </c>
      <c r="F163" s="30">
        <f>ROUND(9.74135,5)</f>
        <v>9.74135</v>
      </c>
      <c r="G163" s="28"/>
      <c r="H163" s="42"/>
    </row>
    <row r="164" spans="1:8" ht="12.75" customHeight="1">
      <c r="A164" s="26">
        <v>43678</v>
      </c>
      <c r="B164" s="27"/>
      <c r="C164" s="30">
        <f>ROUND(9.71,5)</f>
        <v>9.71</v>
      </c>
      <c r="D164" s="30">
        <f>F164</f>
        <v>9.80597</v>
      </c>
      <c r="E164" s="30">
        <f>F164</f>
        <v>9.80597</v>
      </c>
      <c r="F164" s="30">
        <f>ROUND(9.80597,5)</f>
        <v>9.80597</v>
      </c>
      <c r="G164" s="28"/>
      <c r="H164" s="42"/>
    </row>
    <row r="165" spans="1:8" ht="12.75" customHeight="1">
      <c r="A165" s="26">
        <v>43776</v>
      </c>
      <c r="B165" s="27"/>
      <c r="C165" s="30">
        <f>ROUND(9.71,5)</f>
        <v>9.71</v>
      </c>
      <c r="D165" s="30">
        <f>F165</f>
        <v>9.8715</v>
      </c>
      <c r="E165" s="30">
        <f>F165</f>
        <v>9.8715</v>
      </c>
      <c r="F165" s="30">
        <f>ROUND(9.8715,5)</f>
        <v>9.8715</v>
      </c>
      <c r="G165" s="28"/>
      <c r="H165" s="42"/>
    </row>
    <row r="166" spans="1:8" ht="12.75" customHeight="1">
      <c r="A166" s="26">
        <v>43867</v>
      </c>
      <c r="B166" s="27"/>
      <c r="C166" s="30">
        <f>ROUND(9.71,5)</f>
        <v>9.71</v>
      </c>
      <c r="D166" s="30">
        <f>F166</f>
        <v>9.9283</v>
      </c>
      <c r="E166" s="30">
        <f>F166</f>
        <v>9.9283</v>
      </c>
      <c r="F166" s="30">
        <f>ROUND(9.9283,5)</f>
        <v>9.9283</v>
      </c>
      <c r="G166" s="28"/>
      <c r="H166" s="42"/>
    </row>
    <row r="167" spans="1:8" ht="12.75" customHeight="1">
      <c r="A167" s="26">
        <v>43958</v>
      </c>
      <c r="B167" s="27"/>
      <c r="C167" s="30">
        <f>ROUND(9.71,5)</f>
        <v>9.71</v>
      </c>
      <c r="D167" s="30">
        <f>F167</f>
        <v>10.00371</v>
      </c>
      <c r="E167" s="30">
        <f>F167</f>
        <v>10.00371</v>
      </c>
      <c r="F167" s="30">
        <f>ROUND(10.00371,5)</f>
        <v>10.00371</v>
      </c>
      <c r="G167" s="28"/>
      <c r="H167" s="42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2"/>
    </row>
    <row r="169" spans="1:8" ht="12.75" customHeight="1">
      <c r="A169" s="26">
        <v>43587</v>
      </c>
      <c r="B169" s="27"/>
      <c r="C169" s="30">
        <f>ROUND(8.735,5)</f>
        <v>8.735</v>
      </c>
      <c r="D169" s="30">
        <f>F169</f>
        <v>8.7653</v>
      </c>
      <c r="E169" s="30">
        <f>F169</f>
        <v>8.7653</v>
      </c>
      <c r="F169" s="30">
        <f>ROUND(8.7653,5)</f>
        <v>8.7653</v>
      </c>
      <c r="G169" s="28"/>
      <c r="H169" s="42"/>
    </row>
    <row r="170" spans="1:8" ht="12.75" customHeight="1">
      <c r="A170" s="26">
        <v>43678</v>
      </c>
      <c r="B170" s="27"/>
      <c r="C170" s="30">
        <f>ROUND(8.735,5)</f>
        <v>8.735</v>
      </c>
      <c r="D170" s="30">
        <f>F170</f>
        <v>8.82283</v>
      </c>
      <c r="E170" s="30">
        <f>F170</f>
        <v>8.82283</v>
      </c>
      <c r="F170" s="30">
        <f>ROUND(8.82283,5)</f>
        <v>8.82283</v>
      </c>
      <c r="G170" s="28"/>
      <c r="H170" s="42"/>
    </row>
    <row r="171" spans="1:8" ht="12.75" customHeight="1">
      <c r="A171" s="26">
        <v>43776</v>
      </c>
      <c r="B171" s="27"/>
      <c r="C171" s="30">
        <f>ROUND(8.735,5)</f>
        <v>8.735</v>
      </c>
      <c r="D171" s="30">
        <f>F171</f>
        <v>8.87199</v>
      </c>
      <c r="E171" s="30">
        <f>F171</f>
        <v>8.87199</v>
      </c>
      <c r="F171" s="30">
        <f>ROUND(8.87199,5)</f>
        <v>8.87199</v>
      </c>
      <c r="G171" s="28"/>
      <c r="H171" s="42"/>
    </row>
    <row r="172" spans="1:8" ht="12.75" customHeight="1">
      <c r="A172" s="26">
        <v>43867</v>
      </c>
      <c r="B172" s="27"/>
      <c r="C172" s="30">
        <f>ROUND(8.735,5)</f>
        <v>8.735</v>
      </c>
      <c r="D172" s="30">
        <f>F172</f>
        <v>8.90706</v>
      </c>
      <c r="E172" s="30">
        <f>F172</f>
        <v>8.90706</v>
      </c>
      <c r="F172" s="30">
        <f>ROUND(8.90706,5)</f>
        <v>8.90706</v>
      </c>
      <c r="G172" s="28"/>
      <c r="H172" s="42"/>
    </row>
    <row r="173" spans="1:8" ht="12.75" customHeight="1">
      <c r="A173" s="26">
        <v>43958</v>
      </c>
      <c r="B173" s="27"/>
      <c r="C173" s="30">
        <f>ROUND(8.735,5)</f>
        <v>8.735</v>
      </c>
      <c r="D173" s="30">
        <f>F173</f>
        <v>8.98236</v>
      </c>
      <c r="E173" s="30">
        <f>F173</f>
        <v>8.98236</v>
      </c>
      <c r="F173" s="30">
        <f>ROUND(8.98236,5)</f>
        <v>8.98236</v>
      </c>
      <c r="G173" s="28"/>
      <c r="H173" s="42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2"/>
    </row>
    <row r="175" spans="1:8" ht="12.75" customHeight="1">
      <c r="A175" s="26">
        <v>43587</v>
      </c>
      <c r="B175" s="27"/>
      <c r="C175" s="30">
        <f>ROUND(3.11,5)</f>
        <v>3.11</v>
      </c>
      <c r="D175" s="30">
        <f>F175</f>
        <v>300.27194</v>
      </c>
      <c r="E175" s="30">
        <f>F175</f>
        <v>300.27194</v>
      </c>
      <c r="F175" s="30">
        <f>ROUND(300.27194,5)</f>
        <v>300.27194</v>
      </c>
      <c r="G175" s="28"/>
      <c r="H175" s="42"/>
    </row>
    <row r="176" spans="1:8" ht="12.75" customHeight="1">
      <c r="A176" s="26">
        <v>43678</v>
      </c>
      <c r="B176" s="27"/>
      <c r="C176" s="30">
        <f>ROUND(3.11,5)</f>
        <v>3.11</v>
      </c>
      <c r="D176" s="30">
        <f>F176</f>
        <v>298.40049</v>
      </c>
      <c r="E176" s="30">
        <f>F176</f>
        <v>298.40049</v>
      </c>
      <c r="F176" s="30">
        <f>ROUND(298.40049,5)</f>
        <v>298.40049</v>
      </c>
      <c r="G176" s="28"/>
      <c r="H176" s="42"/>
    </row>
    <row r="177" spans="1:8" ht="12.75" customHeight="1">
      <c r="A177" s="26">
        <v>43776</v>
      </c>
      <c r="B177" s="27"/>
      <c r="C177" s="30">
        <f>ROUND(3.11,5)</f>
        <v>3.11</v>
      </c>
      <c r="D177" s="30">
        <f>F177</f>
        <v>304.72433</v>
      </c>
      <c r="E177" s="30">
        <f>F177</f>
        <v>304.72433</v>
      </c>
      <c r="F177" s="30">
        <f>ROUND(304.72433,5)</f>
        <v>304.72433</v>
      </c>
      <c r="G177" s="28"/>
      <c r="H177" s="42"/>
    </row>
    <row r="178" spans="1:8" ht="12.75" customHeight="1">
      <c r="A178" s="26">
        <v>43867</v>
      </c>
      <c r="B178" s="27"/>
      <c r="C178" s="30">
        <f>ROUND(3.11,5)</f>
        <v>3.11</v>
      </c>
      <c r="D178" s="30">
        <f>F178</f>
        <v>303.18032</v>
      </c>
      <c r="E178" s="30">
        <f>F178</f>
        <v>303.18032</v>
      </c>
      <c r="F178" s="30">
        <f>ROUND(303.18032,5)</f>
        <v>303.18032</v>
      </c>
      <c r="G178" s="28"/>
      <c r="H178" s="42"/>
    </row>
    <row r="179" spans="1:8" ht="12.75" customHeight="1">
      <c r="A179" s="26">
        <v>43958</v>
      </c>
      <c r="B179" s="27"/>
      <c r="C179" s="30">
        <f>ROUND(3.11,5)</f>
        <v>3.11</v>
      </c>
      <c r="D179" s="30">
        <f>F179</f>
        <v>308.82424</v>
      </c>
      <c r="E179" s="30">
        <f>F179</f>
        <v>308.82424</v>
      </c>
      <c r="F179" s="30">
        <f>ROUND(308.82424,5)</f>
        <v>308.82424</v>
      </c>
      <c r="G179" s="28"/>
      <c r="H179" s="42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2"/>
    </row>
    <row r="181" spans="1:8" ht="12.75" customHeight="1">
      <c r="A181" s="26">
        <v>43587</v>
      </c>
      <c r="B181" s="27"/>
      <c r="C181" s="30">
        <f>ROUND(3.32,5)</f>
        <v>3.32</v>
      </c>
      <c r="D181" s="30">
        <f>F181</f>
        <v>232.72589</v>
      </c>
      <c r="E181" s="30">
        <f>F181</f>
        <v>232.72589</v>
      </c>
      <c r="F181" s="30">
        <f>ROUND(232.72589,5)</f>
        <v>232.72589</v>
      </c>
      <c r="G181" s="28"/>
      <c r="H181" s="42"/>
    </row>
    <row r="182" spans="1:8" ht="12.75" customHeight="1">
      <c r="A182" s="26">
        <v>43678</v>
      </c>
      <c r="B182" s="27"/>
      <c r="C182" s="30">
        <f>ROUND(3.32,5)</f>
        <v>3.32</v>
      </c>
      <c r="D182" s="30">
        <f>F182</f>
        <v>233.11821</v>
      </c>
      <c r="E182" s="30">
        <f>F182</f>
        <v>233.11821</v>
      </c>
      <c r="F182" s="30">
        <f>ROUND(233.11821,5)</f>
        <v>233.11821</v>
      </c>
      <c r="G182" s="28"/>
      <c r="H182" s="42"/>
    </row>
    <row r="183" spans="1:8" ht="12.75" customHeight="1">
      <c r="A183" s="26">
        <v>43776</v>
      </c>
      <c r="B183" s="27"/>
      <c r="C183" s="30">
        <f>ROUND(3.32,5)</f>
        <v>3.32</v>
      </c>
      <c r="D183" s="30">
        <f>F183</f>
        <v>238.05844</v>
      </c>
      <c r="E183" s="30">
        <f>F183</f>
        <v>238.05844</v>
      </c>
      <c r="F183" s="30">
        <f>ROUND(238.05844,5)</f>
        <v>238.05844</v>
      </c>
      <c r="G183" s="28"/>
      <c r="H183" s="42"/>
    </row>
    <row r="184" spans="1:8" ht="12.75" customHeight="1">
      <c r="A184" s="26">
        <v>43867</v>
      </c>
      <c r="B184" s="27"/>
      <c r="C184" s="30">
        <f>ROUND(3.32,5)</f>
        <v>3.32</v>
      </c>
      <c r="D184" s="30">
        <f>F184</f>
        <v>238.78712</v>
      </c>
      <c r="E184" s="30">
        <f>F184</f>
        <v>238.78712</v>
      </c>
      <c r="F184" s="30">
        <f>ROUND(238.78712,5)</f>
        <v>238.78712</v>
      </c>
      <c r="G184" s="28"/>
      <c r="H184" s="42"/>
    </row>
    <row r="185" spans="1:8" ht="12.75" customHeight="1">
      <c r="A185" s="26">
        <v>43958</v>
      </c>
      <c r="B185" s="27"/>
      <c r="C185" s="30">
        <f>ROUND(3.32,5)</f>
        <v>3.32</v>
      </c>
      <c r="D185" s="30">
        <f>F185</f>
        <v>243.23493</v>
      </c>
      <c r="E185" s="30">
        <f>F185</f>
        <v>243.23493</v>
      </c>
      <c r="F185" s="30">
        <f>ROUND(243.23493,5)</f>
        <v>243.23493</v>
      </c>
      <c r="G185" s="28"/>
      <c r="H185" s="42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42"/>
    </row>
    <row r="187" spans="1:8" ht="12.75" customHeight="1">
      <c r="A187" s="26">
        <v>43587</v>
      </c>
      <c r="B187" s="27"/>
      <c r="C187" s="30">
        <f>ROUND(0,5)</f>
        <v>0</v>
      </c>
      <c r="D187" s="30">
        <f>F187</f>
        <v>1.03146</v>
      </c>
      <c r="E187" s="30">
        <f>F187</f>
        <v>1.03146</v>
      </c>
      <c r="F187" s="30">
        <f>ROUND(1.03146,5)</f>
        <v>1.03146</v>
      </c>
      <c r="G187" s="28"/>
      <c r="H187" s="42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2"/>
    </row>
    <row r="189" spans="1:8" ht="12.75" customHeight="1">
      <c r="A189" s="26">
        <v>43587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43678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43776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43867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>
        <v>43958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2"/>
    </row>
    <row r="195" spans="1:8" ht="12.75" customHeight="1">
      <c r="A195" s="26">
        <v>43587</v>
      </c>
      <c r="B195" s="27"/>
      <c r="C195" s="30">
        <f>ROUND(6.58,5)</f>
        <v>6.58</v>
      </c>
      <c r="D195" s="30">
        <f>F195</f>
        <v>6.45718</v>
      </c>
      <c r="E195" s="30">
        <f>F195</f>
        <v>6.45718</v>
      </c>
      <c r="F195" s="30">
        <f>ROUND(6.45718,5)</f>
        <v>6.45718</v>
      </c>
      <c r="G195" s="28"/>
      <c r="H195" s="42"/>
    </row>
    <row r="196" spans="1:8" ht="12.75" customHeight="1">
      <c r="A196" s="26">
        <v>43678</v>
      </c>
      <c r="B196" s="27"/>
      <c r="C196" s="30">
        <f>ROUND(6.58,5)</f>
        <v>6.58</v>
      </c>
      <c r="D196" s="30">
        <f>F196</f>
        <v>5.77523</v>
      </c>
      <c r="E196" s="30">
        <f>F196</f>
        <v>5.77523</v>
      </c>
      <c r="F196" s="30">
        <f>ROUND(5.77523,5)</f>
        <v>5.77523</v>
      </c>
      <c r="G196" s="28"/>
      <c r="H196" s="42"/>
    </row>
    <row r="197" spans="1:8" ht="12.75" customHeight="1">
      <c r="A197" s="26">
        <v>43776</v>
      </c>
      <c r="B197" s="27"/>
      <c r="C197" s="30">
        <f>ROUND(6.58,5)</f>
        <v>6.58</v>
      </c>
      <c r="D197" s="30">
        <f>F197</f>
        <v>2.61928</v>
      </c>
      <c r="E197" s="30">
        <f>F197</f>
        <v>2.61928</v>
      </c>
      <c r="F197" s="30">
        <f>ROUND(2.61928,5)</f>
        <v>2.61928</v>
      </c>
      <c r="G197" s="28"/>
      <c r="H197" s="42"/>
    </row>
    <row r="198" spans="1:8" ht="12.75" customHeight="1">
      <c r="A198" s="26">
        <v>43867</v>
      </c>
      <c r="B198" s="27"/>
      <c r="C198" s="30">
        <f>ROUND(6.58,5)</f>
        <v>6.58</v>
      </c>
      <c r="D198" s="30">
        <f>F198</f>
        <v>2.61928</v>
      </c>
      <c r="E198" s="30">
        <f>F198</f>
        <v>2.61928</v>
      </c>
      <c r="F198" s="30">
        <f>ROUND(2.61928,5)</f>
        <v>2.61928</v>
      </c>
      <c r="G198" s="28"/>
      <c r="H198" s="42"/>
    </row>
    <row r="199" spans="1:8" ht="12.75" customHeight="1">
      <c r="A199" s="26">
        <v>43958</v>
      </c>
      <c r="B199" s="27"/>
      <c r="C199" s="30">
        <f>ROUND(6.58,5)</f>
        <v>6.58</v>
      </c>
      <c r="D199" s="30">
        <f>F199</f>
        <v>2.61928</v>
      </c>
      <c r="E199" s="30">
        <f>F199</f>
        <v>2.61928</v>
      </c>
      <c r="F199" s="30">
        <f>ROUND(2.61928,5)</f>
        <v>2.61928</v>
      </c>
      <c r="G199" s="28"/>
      <c r="H199" s="42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2"/>
    </row>
    <row r="201" spans="1:8" ht="12.75" customHeight="1">
      <c r="A201" s="26">
        <v>43587</v>
      </c>
      <c r="B201" s="27"/>
      <c r="C201" s="30">
        <f>ROUND(7.085,5)</f>
        <v>7.085</v>
      </c>
      <c r="D201" s="30">
        <f>F201</f>
        <v>7.06678</v>
      </c>
      <c r="E201" s="30">
        <f>F201</f>
        <v>7.06678</v>
      </c>
      <c r="F201" s="30">
        <f>ROUND(7.06678,5)</f>
        <v>7.06678</v>
      </c>
      <c r="G201" s="28"/>
      <c r="H201" s="42"/>
    </row>
    <row r="202" spans="1:8" ht="12.75" customHeight="1">
      <c r="A202" s="26">
        <v>43678</v>
      </c>
      <c r="B202" s="27"/>
      <c r="C202" s="30">
        <f>ROUND(7.085,5)</f>
        <v>7.085</v>
      </c>
      <c r="D202" s="30">
        <f>F202</f>
        <v>6.98396</v>
      </c>
      <c r="E202" s="30">
        <f>F202</f>
        <v>6.98396</v>
      </c>
      <c r="F202" s="30">
        <f>ROUND(6.98396,5)</f>
        <v>6.98396</v>
      </c>
      <c r="G202" s="28"/>
      <c r="H202" s="42"/>
    </row>
    <row r="203" spans="1:8" ht="12.75" customHeight="1">
      <c r="A203" s="26">
        <v>43776</v>
      </c>
      <c r="B203" s="27"/>
      <c r="C203" s="30">
        <f>ROUND(7.085,5)</f>
        <v>7.085</v>
      </c>
      <c r="D203" s="30">
        <f>F203</f>
        <v>6.79904</v>
      </c>
      <c r="E203" s="30">
        <f>F203</f>
        <v>6.79904</v>
      </c>
      <c r="F203" s="30">
        <f>ROUND(6.79904,5)</f>
        <v>6.79904</v>
      </c>
      <c r="G203" s="28"/>
      <c r="H203" s="42"/>
    </row>
    <row r="204" spans="1:8" ht="12.75" customHeight="1">
      <c r="A204" s="26">
        <v>43867</v>
      </c>
      <c r="B204" s="27"/>
      <c r="C204" s="30">
        <f>ROUND(7.085,5)</f>
        <v>7.085</v>
      </c>
      <c r="D204" s="30">
        <f>F204</f>
        <v>6.48599</v>
      </c>
      <c r="E204" s="30">
        <f>F204</f>
        <v>6.48599</v>
      </c>
      <c r="F204" s="30">
        <f>ROUND(6.48599,5)</f>
        <v>6.48599</v>
      </c>
      <c r="G204" s="28"/>
      <c r="H204" s="42"/>
    </row>
    <row r="205" spans="1:8" ht="12.75" customHeight="1">
      <c r="A205" s="26">
        <v>43958</v>
      </c>
      <c r="B205" s="27"/>
      <c r="C205" s="30">
        <f>ROUND(7.085,5)</f>
        <v>7.085</v>
      </c>
      <c r="D205" s="30">
        <f>F205</f>
        <v>6.20215</v>
      </c>
      <c r="E205" s="30">
        <f>F205</f>
        <v>6.20215</v>
      </c>
      <c r="F205" s="30">
        <f>ROUND(6.20215,5)</f>
        <v>6.20215</v>
      </c>
      <c r="G205" s="28"/>
      <c r="H205" s="42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2"/>
    </row>
    <row r="207" spans="1:8" ht="12.75" customHeight="1">
      <c r="A207" s="26">
        <v>43587</v>
      </c>
      <c r="B207" s="27"/>
      <c r="C207" s="30">
        <f>ROUND(9.66,5)</f>
        <v>9.66</v>
      </c>
      <c r="D207" s="30">
        <f>F207</f>
        <v>9.68816</v>
      </c>
      <c r="E207" s="30">
        <f>F207</f>
        <v>9.68816</v>
      </c>
      <c r="F207" s="30">
        <f>ROUND(9.68816,5)</f>
        <v>9.68816</v>
      </c>
      <c r="G207" s="28"/>
      <c r="H207" s="42"/>
    </row>
    <row r="208" spans="1:8" ht="12.75" customHeight="1">
      <c r="A208" s="26">
        <v>43678</v>
      </c>
      <c r="B208" s="27"/>
      <c r="C208" s="30">
        <f>ROUND(9.66,5)</f>
        <v>9.66</v>
      </c>
      <c r="D208" s="30">
        <f>F208</f>
        <v>9.74577</v>
      </c>
      <c r="E208" s="30">
        <f>F208</f>
        <v>9.74577</v>
      </c>
      <c r="F208" s="30">
        <f>ROUND(9.74577,5)</f>
        <v>9.74577</v>
      </c>
      <c r="G208" s="28"/>
      <c r="H208" s="42"/>
    </row>
    <row r="209" spans="1:8" ht="12.75" customHeight="1">
      <c r="A209" s="26">
        <v>43776</v>
      </c>
      <c r="B209" s="27"/>
      <c r="C209" s="30">
        <f>ROUND(9.66,5)</f>
        <v>9.66</v>
      </c>
      <c r="D209" s="30">
        <f>F209</f>
        <v>9.80117</v>
      </c>
      <c r="E209" s="30">
        <f>F209</f>
        <v>9.80117</v>
      </c>
      <c r="F209" s="30">
        <f>ROUND(9.80117,5)</f>
        <v>9.80117</v>
      </c>
      <c r="G209" s="28"/>
      <c r="H209" s="42"/>
    </row>
    <row r="210" spans="1:8" ht="12.75" customHeight="1">
      <c r="A210" s="26">
        <v>43867</v>
      </c>
      <c r="B210" s="27"/>
      <c r="C210" s="30">
        <f>ROUND(9.66,5)</f>
        <v>9.66</v>
      </c>
      <c r="D210" s="30">
        <f>F210</f>
        <v>9.84653</v>
      </c>
      <c r="E210" s="30">
        <f>F210</f>
        <v>9.84653</v>
      </c>
      <c r="F210" s="30">
        <f>ROUND(9.84653,5)</f>
        <v>9.84653</v>
      </c>
      <c r="G210" s="28"/>
      <c r="H210" s="42"/>
    </row>
    <row r="211" spans="1:8" ht="12.75" customHeight="1">
      <c r="A211" s="26">
        <v>43958</v>
      </c>
      <c r="B211" s="27"/>
      <c r="C211" s="30">
        <f>ROUND(9.66,5)</f>
        <v>9.66</v>
      </c>
      <c r="D211" s="30">
        <f>F211</f>
        <v>9.91388</v>
      </c>
      <c r="E211" s="30">
        <f>F211</f>
        <v>9.91388</v>
      </c>
      <c r="F211" s="30">
        <f>ROUND(9.91388,5)</f>
        <v>9.91388</v>
      </c>
      <c r="G211" s="28"/>
      <c r="H211" s="42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2"/>
    </row>
    <row r="213" spans="1:8" ht="12.75" customHeight="1">
      <c r="A213" s="26">
        <v>43587</v>
      </c>
      <c r="B213" s="27"/>
      <c r="C213" s="30">
        <f>ROUND(3.3,5)</f>
        <v>3.3</v>
      </c>
      <c r="D213" s="30">
        <f>F213</f>
        <v>184.66424</v>
      </c>
      <c r="E213" s="30">
        <f>F213</f>
        <v>184.66424</v>
      </c>
      <c r="F213" s="30">
        <f>ROUND(184.66424,5)</f>
        <v>184.66424</v>
      </c>
      <c r="G213" s="28"/>
      <c r="H213" s="42"/>
    </row>
    <row r="214" spans="1:8" ht="12.75" customHeight="1">
      <c r="A214" s="26">
        <v>43678</v>
      </c>
      <c r="B214" s="27"/>
      <c r="C214" s="30">
        <f>ROUND(3.3,5)</f>
        <v>3.3</v>
      </c>
      <c r="D214" s="30">
        <f>F214</f>
        <v>188.15965</v>
      </c>
      <c r="E214" s="30">
        <f>F214</f>
        <v>188.15965</v>
      </c>
      <c r="F214" s="30">
        <f>ROUND(188.15965,5)</f>
        <v>188.15965</v>
      </c>
      <c r="G214" s="28"/>
      <c r="H214" s="42"/>
    </row>
    <row r="215" spans="1:8" ht="12.75" customHeight="1">
      <c r="A215" s="26">
        <v>43776</v>
      </c>
      <c r="B215" s="27"/>
      <c r="C215" s="30">
        <f>ROUND(3.3,5)</f>
        <v>3.3</v>
      </c>
      <c r="D215" s="30">
        <f>F215</f>
        <v>189.5087</v>
      </c>
      <c r="E215" s="30">
        <f>F215</f>
        <v>189.5087</v>
      </c>
      <c r="F215" s="30">
        <f>ROUND(189.5087,5)</f>
        <v>189.5087</v>
      </c>
      <c r="G215" s="28"/>
      <c r="H215" s="42"/>
    </row>
    <row r="216" spans="1:8" ht="12.75" customHeight="1">
      <c r="A216" s="26">
        <v>43867</v>
      </c>
      <c r="B216" s="27"/>
      <c r="C216" s="30">
        <f>ROUND(3.3,5)</f>
        <v>3.3</v>
      </c>
      <c r="D216" s="30">
        <f>F216</f>
        <v>193.36168</v>
      </c>
      <c r="E216" s="30">
        <f>F216</f>
        <v>193.36168</v>
      </c>
      <c r="F216" s="30">
        <f>ROUND(193.36168,5)</f>
        <v>193.36168</v>
      </c>
      <c r="G216" s="28"/>
      <c r="H216" s="42"/>
    </row>
    <row r="217" spans="1:8" ht="12.75" customHeight="1">
      <c r="A217" s="26">
        <v>43958</v>
      </c>
      <c r="B217" s="27"/>
      <c r="C217" s="30">
        <f>ROUND(3.3,5)</f>
        <v>3.3</v>
      </c>
      <c r="D217" s="30">
        <f>F217</f>
        <v>194.28316</v>
      </c>
      <c r="E217" s="30">
        <f>F217</f>
        <v>194.28316</v>
      </c>
      <c r="F217" s="30">
        <f>ROUND(194.28316,5)</f>
        <v>194.28316</v>
      </c>
      <c r="G217" s="28"/>
      <c r="H217" s="42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2"/>
    </row>
    <row r="219" spans="1:8" ht="12.75" customHeight="1">
      <c r="A219" s="26">
        <v>43587</v>
      </c>
      <c r="B219" s="27"/>
      <c r="C219" s="30">
        <f>ROUND(3.04,5)</f>
        <v>3.04</v>
      </c>
      <c r="D219" s="30">
        <f>F219</f>
        <v>156.9491</v>
      </c>
      <c r="E219" s="30">
        <f>F219</f>
        <v>156.9491</v>
      </c>
      <c r="F219" s="30">
        <f>ROUND(156.9491,5)</f>
        <v>156.9491</v>
      </c>
      <c r="G219" s="28"/>
      <c r="H219" s="42"/>
    </row>
    <row r="220" spans="1:8" ht="12.75" customHeight="1">
      <c r="A220" s="26">
        <v>43678</v>
      </c>
      <c r="B220" s="27"/>
      <c r="C220" s="30">
        <f>ROUND(3.04,5)</f>
        <v>3.04</v>
      </c>
      <c r="D220" s="30">
        <f>F220</f>
        <v>157.69983</v>
      </c>
      <c r="E220" s="30">
        <f>F220</f>
        <v>157.69983</v>
      </c>
      <c r="F220" s="30">
        <f>ROUND(157.69983,5)</f>
        <v>157.69983</v>
      </c>
      <c r="G220" s="28"/>
      <c r="H220" s="42"/>
    </row>
    <row r="221" spans="1:8" ht="12.75" customHeight="1">
      <c r="A221" s="26">
        <v>43776</v>
      </c>
      <c r="B221" s="27"/>
      <c r="C221" s="30">
        <f>ROUND(3.04,5)</f>
        <v>3.04</v>
      </c>
      <c r="D221" s="30">
        <f>F221</f>
        <v>161.0419</v>
      </c>
      <c r="E221" s="30">
        <f>F221</f>
        <v>161.0419</v>
      </c>
      <c r="F221" s="30">
        <f>ROUND(161.0419,5)</f>
        <v>161.0419</v>
      </c>
      <c r="G221" s="28"/>
      <c r="H221" s="42"/>
    </row>
    <row r="222" spans="1:8" ht="12.75" customHeight="1">
      <c r="A222" s="26">
        <v>43867</v>
      </c>
      <c r="B222" s="27"/>
      <c r="C222" s="30">
        <f>ROUND(3.04,5)</f>
        <v>3.04</v>
      </c>
      <c r="D222" s="30">
        <f>F222</f>
        <v>162.04436</v>
      </c>
      <c r="E222" s="30">
        <f>F222</f>
        <v>162.04436</v>
      </c>
      <c r="F222" s="30">
        <f>ROUND(162.04436,5)</f>
        <v>162.04436</v>
      </c>
      <c r="G222" s="28"/>
      <c r="H222" s="42"/>
    </row>
    <row r="223" spans="1:8" ht="12.75" customHeight="1">
      <c r="A223" s="26">
        <v>43958</v>
      </c>
      <c r="B223" s="27"/>
      <c r="C223" s="30">
        <f>ROUND(3.04,5)</f>
        <v>3.04</v>
      </c>
      <c r="D223" s="30">
        <f>F223</f>
        <v>165.06237</v>
      </c>
      <c r="E223" s="30">
        <f>F223</f>
        <v>165.06237</v>
      </c>
      <c r="F223" s="30">
        <f>ROUND(165.06237,5)</f>
        <v>165.06237</v>
      </c>
      <c r="G223" s="28"/>
      <c r="H223" s="42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2"/>
    </row>
    <row r="225" spans="1:8" ht="12.75" customHeight="1">
      <c r="A225" s="26">
        <v>43587</v>
      </c>
      <c r="B225" s="27"/>
      <c r="C225" s="30">
        <f>ROUND(9.405,5)</f>
        <v>9.405</v>
      </c>
      <c r="D225" s="30">
        <f>F225</f>
        <v>9.43454</v>
      </c>
      <c r="E225" s="30">
        <f>F225</f>
        <v>9.43454</v>
      </c>
      <c r="F225" s="30">
        <f>ROUND(9.43454,5)</f>
        <v>9.43454</v>
      </c>
      <c r="G225" s="28"/>
      <c r="H225" s="42"/>
    </row>
    <row r="226" spans="1:8" ht="12.75" customHeight="1">
      <c r="A226" s="26">
        <v>43678</v>
      </c>
      <c r="B226" s="27"/>
      <c r="C226" s="30">
        <f>ROUND(9.405,5)</f>
        <v>9.405</v>
      </c>
      <c r="D226" s="30">
        <f>F226</f>
        <v>9.49469</v>
      </c>
      <c r="E226" s="30">
        <f>F226</f>
        <v>9.49469</v>
      </c>
      <c r="F226" s="30">
        <f>ROUND(9.49469,5)</f>
        <v>9.49469</v>
      </c>
      <c r="G226" s="28"/>
      <c r="H226" s="42"/>
    </row>
    <row r="227" spans="1:8" ht="12.75" customHeight="1">
      <c r="A227" s="26">
        <v>43776</v>
      </c>
      <c r="B227" s="27"/>
      <c r="C227" s="30">
        <f>ROUND(9.405,5)</f>
        <v>9.405</v>
      </c>
      <c r="D227" s="30">
        <f>F227</f>
        <v>9.55514</v>
      </c>
      <c r="E227" s="30">
        <f>F227</f>
        <v>9.55514</v>
      </c>
      <c r="F227" s="30">
        <f>ROUND(9.55514,5)</f>
        <v>9.55514</v>
      </c>
      <c r="G227" s="28"/>
      <c r="H227" s="42"/>
    </row>
    <row r="228" spans="1:8" ht="12.75" customHeight="1">
      <c r="A228" s="26">
        <v>43867</v>
      </c>
      <c r="B228" s="27"/>
      <c r="C228" s="30">
        <f>ROUND(9.405,5)</f>
        <v>9.405</v>
      </c>
      <c r="D228" s="30">
        <f>F228</f>
        <v>9.60657</v>
      </c>
      <c r="E228" s="30">
        <f>F228</f>
        <v>9.60657</v>
      </c>
      <c r="F228" s="30">
        <f>ROUND(9.60657,5)</f>
        <v>9.60657</v>
      </c>
      <c r="G228" s="28"/>
      <c r="H228" s="42"/>
    </row>
    <row r="229" spans="1:8" ht="12.75" customHeight="1">
      <c r="A229" s="26">
        <v>43958</v>
      </c>
      <c r="B229" s="27"/>
      <c r="C229" s="30">
        <f>ROUND(9.405,5)</f>
        <v>9.405</v>
      </c>
      <c r="D229" s="30">
        <f>F229</f>
        <v>9.67884</v>
      </c>
      <c r="E229" s="30">
        <f>F229</f>
        <v>9.67884</v>
      </c>
      <c r="F229" s="30">
        <f>ROUND(9.67884,5)</f>
        <v>9.67884</v>
      </c>
      <c r="G229" s="28"/>
      <c r="H229" s="42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2"/>
    </row>
    <row r="231" spans="1:8" ht="12.75" customHeight="1">
      <c r="A231" s="26">
        <v>43587</v>
      </c>
      <c r="B231" s="27"/>
      <c r="C231" s="30">
        <f>ROUND(9.85,5)</f>
        <v>9.85</v>
      </c>
      <c r="D231" s="30">
        <f>F231</f>
        <v>9.87817</v>
      </c>
      <c r="E231" s="30">
        <f>F231</f>
        <v>9.87817</v>
      </c>
      <c r="F231" s="30">
        <f>ROUND(9.87817,5)</f>
        <v>9.87817</v>
      </c>
      <c r="G231" s="28"/>
      <c r="H231" s="42"/>
    </row>
    <row r="232" spans="1:8" ht="12.75" customHeight="1">
      <c r="A232" s="26">
        <v>43678</v>
      </c>
      <c r="B232" s="27"/>
      <c r="C232" s="30">
        <f>ROUND(9.85,5)</f>
        <v>9.85</v>
      </c>
      <c r="D232" s="30">
        <f>F232</f>
        <v>9.9362</v>
      </c>
      <c r="E232" s="30">
        <f>F232</f>
        <v>9.9362</v>
      </c>
      <c r="F232" s="30">
        <f>ROUND(9.9362,5)</f>
        <v>9.9362</v>
      </c>
      <c r="G232" s="28"/>
      <c r="H232" s="42"/>
    </row>
    <row r="233" spans="1:8" ht="12.75" customHeight="1">
      <c r="A233" s="26">
        <v>43776</v>
      </c>
      <c r="B233" s="27"/>
      <c r="C233" s="30">
        <f>ROUND(9.85,5)</f>
        <v>9.85</v>
      </c>
      <c r="D233" s="30">
        <f>F233</f>
        <v>9.99494</v>
      </c>
      <c r="E233" s="30">
        <f>F233</f>
        <v>9.99494</v>
      </c>
      <c r="F233" s="30">
        <f>ROUND(9.99494,5)</f>
        <v>9.99494</v>
      </c>
      <c r="G233" s="28"/>
      <c r="H233" s="42"/>
    </row>
    <row r="234" spans="1:8" ht="12.75" customHeight="1">
      <c r="A234" s="26">
        <v>43867</v>
      </c>
      <c r="B234" s="27"/>
      <c r="C234" s="30">
        <f>ROUND(9.85,5)</f>
        <v>9.85</v>
      </c>
      <c r="D234" s="30">
        <f>F234</f>
        <v>10.04577</v>
      </c>
      <c r="E234" s="30">
        <f>F234</f>
        <v>10.04577</v>
      </c>
      <c r="F234" s="30">
        <f>ROUND(10.04577,5)</f>
        <v>10.04577</v>
      </c>
      <c r="G234" s="28"/>
      <c r="H234" s="42"/>
    </row>
    <row r="235" spans="1:8" ht="12.75" customHeight="1">
      <c r="A235" s="26">
        <v>43958</v>
      </c>
      <c r="B235" s="27"/>
      <c r="C235" s="30">
        <f>ROUND(9.85,5)</f>
        <v>9.85</v>
      </c>
      <c r="D235" s="30">
        <f>F235</f>
        <v>10.11174</v>
      </c>
      <c r="E235" s="30">
        <f>F235</f>
        <v>10.11174</v>
      </c>
      <c r="F235" s="30">
        <f>ROUND(10.11174,5)</f>
        <v>10.11174</v>
      </c>
      <c r="G235" s="28"/>
      <c r="H235" s="42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42"/>
    </row>
    <row r="237" spans="1:8" ht="12.75" customHeight="1">
      <c r="A237" s="26">
        <v>43587</v>
      </c>
      <c r="B237" s="27"/>
      <c r="C237" s="30">
        <f>ROUND(9.85,5)</f>
        <v>9.85</v>
      </c>
      <c r="D237" s="30">
        <f>F237</f>
        <v>9.87808</v>
      </c>
      <c r="E237" s="30">
        <f>F237</f>
        <v>9.87808</v>
      </c>
      <c r="F237" s="30">
        <f>ROUND(9.87808,5)</f>
        <v>9.87808</v>
      </c>
      <c r="G237" s="28"/>
      <c r="H237" s="42"/>
    </row>
    <row r="238" spans="1:8" ht="12.75" customHeight="1">
      <c r="A238" s="26">
        <v>43678</v>
      </c>
      <c r="B238" s="27"/>
      <c r="C238" s="30">
        <f>ROUND(9.85,5)</f>
        <v>9.85</v>
      </c>
      <c r="D238" s="30">
        <f>F238</f>
        <v>9.93594</v>
      </c>
      <c r="E238" s="30">
        <f>F238</f>
        <v>9.93594</v>
      </c>
      <c r="F238" s="30">
        <f>ROUND(9.93594,5)</f>
        <v>9.93594</v>
      </c>
      <c r="G238" s="28"/>
      <c r="H238" s="42"/>
    </row>
    <row r="239" spans="1:8" ht="12.75" customHeight="1">
      <c r="A239" s="26">
        <v>43776</v>
      </c>
      <c r="B239" s="27"/>
      <c r="C239" s="30">
        <f>ROUND(9.85,5)</f>
        <v>9.85</v>
      </c>
      <c r="D239" s="30">
        <f>F239</f>
        <v>9.99443</v>
      </c>
      <c r="E239" s="30">
        <f>F239</f>
        <v>9.99443</v>
      </c>
      <c r="F239" s="30">
        <f>ROUND(9.99443,5)</f>
        <v>9.99443</v>
      </c>
      <c r="G239" s="28"/>
      <c r="H239" s="42"/>
    </row>
    <row r="240" spans="1:8" ht="12.75" customHeight="1">
      <c r="A240" s="26">
        <v>43867</v>
      </c>
      <c r="B240" s="27"/>
      <c r="C240" s="30">
        <f>ROUND(9.85,5)</f>
        <v>9.85</v>
      </c>
      <c r="D240" s="30">
        <f>F240</f>
        <v>10.04504</v>
      </c>
      <c r="E240" s="30">
        <f>F240</f>
        <v>10.04504</v>
      </c>
      <c r="F240" s="30">
        <f>ROUND(10.04504,5)</f>
        <v>10.04504</v>
      </c>
      <c r="G240" s="28"/>
      <c r="H240" s="42"/>
    </row>
    <row r="241" spans="1:8" ht="12.75" customHeight="1">
      <c r="A241" s="26">
        <v>43958</v>
      </c>
      <c r="B241" s="27"/>
      <c r="C241" s="30">
        <f>ROUND(9.85,5)</f>
        <v>9.85</v>
      </c>
      <c r="D241" s="30">
        <f>F241</f>
        <v>10.1107</v>
      </c>
      <c r="E241" s="30">
        <f>F241</f>
        <v>10.1107</v>
      </c>
      <c r="F241" s="30">
        <f>ROUND(10.1107,5)</f>
        <v>10.1107</v>
      </c>
      <c r="G241" s="28"/>
      <c r="H241" s="42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42"/>
    </row>
    <row r="243" spans="1:8" ht="12.75" customHeight="1">
      <c r="A243" s="26">
        <v>43553</v>
      </c>
      <c r="B243" s="27"/>
      <c r="C243" s="32">
        <f>ROUND(16.3285,4)</f>
        <v>16.3285</v>
      </c>
      <c r="D243" s="32">
        <f>F243</f>
        <v>16.3586</v>
      </c>
      <c r="E243" s="32">
        <f>F243</f>
        <v>16.3586</v>
      </c>
      <c r="F243" s="32">
        <f>ROUND(16.3586,4)</f>
        <v>16.3586</v>
      </c>
      <c r="G243" s="28"/>
      <c r="H243" s="42"/>
    </row>
    <row r="244" spans="1:8" ht="12.75" customHeight="1">
      <c r="A244" s="26">
        <v>43570</v>
      </c>
      <c r="B244" s="27"/>
      <c r="C244" s="32">
        <f>ROUND(16.3285,4)</f>
        <v>16.3285</v>
      </c>
      <c r="D244" s="32">
        <f>F244</f>
        <v>16.4144</v>
      </c>
      <c r="E244" s="32">
        <f>F244</f>
        <v>16.4144</v>
      </c>
      <c r="F244" s="32">
        <f>ROUND(16.4144,4)</f>
        <v>16.4144</v>
      </c>
      <c r="G244" s="28"/>
      <c r="H244" s="42"/>
    </row>
    <row r="245" spans="1:8" ht="12.75" customHeight="1">
      <c r="A245" s="26">
        <v>43581</v>
      </c>
      <c r="B245" s="27"/>
      <c r="C245" s="32">
        <f>ROUND(16.3285,4)</f>
        <v>16.3285</v>
      </c>
      <c r="D245" s="32">
        <f>F245</f>
        <v>16.4509</v>
      </c>
      <c r="E245" s="32">
        <f>F245</f>
        <v>16.4509</v>
      </c>
      <c r="F245" s="32">
        <f>ROUND(16.4509,4)</f>
        <v>16.4509</v>
      </c>
      <c r="G245" s="28"/>
      <c r="H245" s="42"/>
    </row>
    <row r="246" spans="1:8" ht="12.75" customHeight="1">
      <c r="A246" s="26">
        <v>43626</v>
      </c>
      <c r="B246" s="27"/>
      <c r="C246" s="32">
        <f>ROUND(16.3285,4)</f>
        <v>16.3285</v>
      </c>
      <c r="D246" s="32">
        <f>F246</f>
        <v>16.6007</v>
      </c>
      <c r="E246" s="32">
        <f>F246</f>
        <v>16.6007</v>
      </c>
      <c r="F246" s="32">
        <f>ROUND(16.6007,4)</f>
        <v>16.6007</v>
      </c>
      <c r="G246" s="28"/>
      <c r="H246" s="42"/>
    </row>
    <row r="247" spans="1:8" ht="12.75" customHeight="1">
      <c r="A247" s="26">
        <v>43691</v>
      </c>
      <c r="B247" s="27"/>
      <c r="C247" s="32">
        <f>ROUND(16.3285,4)</f>
        <v>16.3285</v>
      </c>
      <c r="D247" s="32">
        <f>F247</f>
        <v>16.8198</v>
      </c>
      <c r="E247" s="32">
        <f>F247</f>
        <v>16.8198</v>
      </c>
      <c r="F247" s="32">
        <f>ROUND(16.8198,4)</f>
        <v>16.8198</v>
      </c>
      <c r="G247" s="28"/>
      <c r="H247" s="42"/>
    </row>
    <row r="248" spans="1:8" ht="12.75" customHeight="1">
      <c r="A248" s="26">
        <v>43871</v>
      </c>
      <c r="B248" s="27"/>
      <c r="C248" s="32">
        <f>ROUND(16.3285,4)</f>
        <v>16.3285</v>
      </c>
      <c r="D248" s="32">
        <f>F248</f>
        <v>17.4525</v>
      </c>
      <c r="E248" s="32">
        <f>F248</f>
        <v>17.4525</v>
      </c>
      <c r="F248" s="32">
        <f>ROUND(17.4525,4)</f>
        <v>17.4525</v>
      </c>
      <c r="G248" s="28"/>
      <c r="H248" s="42"/>
    </row>
    <row r="249" spans="1:8" ht="12.75" customHeight="1">
      <c r="A249" s="26">
        <v>43880</v>
      </c>
      <c r="B249" s="27"/>
      <c r="C249" s="32">
        <f>ROUND(16.3285,4)</f>
        <v>16.3285</v>
      </c>
      <c r="D249" s="32">
        <f>F249</f>
        <v>16.1703</v>
      </c>
      <c r="E249" s="32">
        <f>F249</f>
        <v>16.1703</v>
      </c>
      <c r="F249" s="32">
        <f>ROUND(16.1703,4)</f>
        <v>16.1703</v>
      </c>
      <c r="G249" s="28"/>
      <c r="H249" s="42"/>
    </row>
    <row r="250" spans="1:8" ht="12.75" customHeight="1">
      <c r="A250" s="26">
        <v>46131</v>
      </c>
      <c r="B250" s="27"/>
      <c r="C250" s="32">
        <f>ROUND(16.3285,4)</f>
        <v>16.3285</v>
      </c>
      <c r="D250" s="32">
        <f>F250</f>
        <v>16.3876</v>
      </c>
      <c r="E250" s="32">
        <f>F250</f>
        <v>16.3876</v>
      </c>
      <c r="F250" s="32">
        <f>ROUND(16.3876,4)</f>
        <v>16.3876</v>
      </c>
      <c r="G250" s="28"/>
      <c r="H250" s="42"/>
    </row>
    <row r="251" spans="1:8" ht="12.75" customHeight="1">
      <c r="A251" s="26">
        <v>46802</v>
      </c>
      <c r="B251" s="27"/>
      <c r="C251" s="32">
        <f>ROUND(16.3285,4)</f>
        <v>16.3285</v>
      </c>
      <c r="D251" s="32">
        <f>F251</f>
        <v>16.1965</v>
      </c>
      <c r="E251" s="32">
        <f>F251</f>
        <v>16.1965</v>
      </c>
      <c r="F251" s="32">
        <f>ROUND(16.1965,4)</f>
        <v>16.1965</v>
      </c>
      <c r="G251" s="28"/>
      <c r="H251" s="42"/>
    </row>
    <row r="252" spans="1:8" ht="12.75" customHeight="1">
      <c r="A252" s="26">
        <v>47196</v>
      </c>
      <c r="B252" s="27"/>
      <c r="C252" s="32">
        <f>ROUND(16.3285,4)</f>
        <v>16.3285</v>
      </c>
      <c r="D252" s="32">
        <f>F252</f>
        <v>16.2927</v>
      </c>
      <c r="E252" s="32">
        <f>F252</f>
        <v>16.2927</v>
      </c>
      <c r="F252" s="32">
        <f>ROUND(16.2927,4)</f>
        <v>16.2927</v>
      </c>
      <c r="G252" s="28"/>
      <c r="H252" s="42"/>
    </row>
    <row r="253" spans="1:8" ht="12.75" customHeight="1">
      <c r="A253" s="26" t="s">
        <v>61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43553</v>
      </c>
      <c r="B254" s="27"/>
      <c r="C254" s="32">
        <f>ROUND(18.9602,4)</f>
        <v>18.9602</v>
      </c>
      <c r="D254" s="32">
        <f>F254</f>
        <v>18.989</v>
      </c>
      <c r="E254" s="32">
        <f>F254</f>
        <v>18.989</v>
      </c>
      <c r="F254" s="32">
        <f>ROUND(18.989,4)</f>
        <v>18.989</v>
      </c>
      <c r="G254" s="28"/>
      <c r="H254" s="42"/>
    </row>
    <row r="255" spans="1:8" ht="12.75" customHeight="1">
      <c r="A255" s="26">
        <v>43570</v>
      </c>
      <c r="B255" s="27"/>
      <c r="C255" s="32">
        <f>ROUND(18.9602,4)</f>
        <v>18.9602</v>
      </c>
      <c r="D255" s="32">
        <f>F255</f>
        <v>19.0426</v>
      </c>
      <c r="E255" s="32">
        <f>F255</f>
        <v>19.0426</v>
      </c>
      <c r="F255" s="32">
        <f>ROUND(19.0426,4)</f>
        <v>19.0426</v>
      </c>
      <c r="G255" s="28"/>
      <c r="H255" s="42"/>
    </row>
    <row r="256" spans="1:8" ht="12.75" customHeight="1">
      <c r="A256" s="26">
        <v>43581</v>
      </c>
      <c r="B256" s="27"/>
      <c r="C256" s="32">
        <f>ROUND(18.9602,4)</f>
        <v>18.9602</v>
      </c>
      <c r="D256" s="32">
        <f>F256</f>
        <v>19.0776</v>
      </c>
      <c r="E256" s="32">
        <f>F256</f>
        <v>19.0776</v>
      </c>
      <c r="F256" s="32">
        <f>ROUND(19.0776,4)</f>
        <v>19.0776</v>
      </c>
      <c r="G256" s="28"/>
      <c r="H256" s="42"/>
    </row>
    <row r="257" spans="1:8" ht="12.75" customHeight="1">
      <c r="A257" s="26">
        <v>43584</v>
      </c>
      <c r="B257" s="27"/>
      <c r="C257" s="32">
        <f>ROUND(18.9602,4)</f>
        <v>18.9602</v>
      </c>
      <c r="D257" s="32">
        <f>F257</f>
        <v>19.0871</v>
      </c>
      <c r="E257" s="32">
        <f>F257</f>
        <v>19.0871</v>
      </c>
      <c r="F257" s="32">
        <f>ROUND(19.0871,4)</f>
        <v>19.0871</v>
      </c>
      <c r="G257" s="28"/>
      <c r="H257" s="42"/>
    </row>
    <row r="258" spans="1:8" ht="12.75" customHeight="1">
      <c r="A258" s="26">
        <v>46131</v>
      </c>
      <c r="B258" s="27"/>
      <c r="C258" s="32">
        <f>ROUND(18.9602,4)</f>
        <v>18.9602</v>
      </c>
      <c r="D258" s="32">
        <f>F258</f>
        <v>18.6026</v>
      </c>
      <c r="E258" s="32">
        <f>F258</f>
        <v>18.6026</v>
      </c>
      <c r="F258" s="32">
        <f>ROUND(18.6026,4)</f>
        <v>18.6026</v>
      </c>
      <c r="G258" s="28"/>
      <c r="H258" s="42"/>
    </row>
    <row r="259" spans="1:8" ht="12.75" customHeight="1">
      <c r="A259" s="26">
        <v>46802</v>
      </c>
      <c r="B259" s="27"/>
      <c r="C259" s="32">
        <f>ROUND(18.9602,4)</f>
        <v>18.9602</v>
      </c>
      <c r="D259" s="32">
        <f>F259</f>
        <v>18.4232</v>
      </c>
      <c r="E259" s="32">
        <f>F259</f>
        <v>18.4232</v>
      </c>
      <c r="F259" s="32">
        <f>ROUND(18.4232,4)</f>
        <v>18.4232</v>
      </c>
      <c r="G259" s="28"/>
      <c r="H259" s="42"/>
    </row>
    <row r="260" spans="1:8" ht="12.75" customHeight="1">
      <c r="A260" s="26">
        <v>47196</v>
      </c>
      <c r="B260" s="27"/>
      <c r="C260" s="32">
        <f>ROUND(18.9602,4)</f>
        <v>18.9602</v>
      </c>
      <c r="D260" s="32">
        <f>F260</f>
        <v>18.5138</v>
      </c>
      <c r="E260" s="32">
        <f>F260</f>
        <v>18.5138</v>
      </c>
      <c r="F260" s="32">
        <f>ROUND(18.5138,4)</f>
        <v>18.5138</v>
      </c>
      <c r="G260" s="28"/>
      <c r="H260" s="42"/>
    </row>
    <row r="261" spans="1:8" ht="12.75" customHeight="1">
      <c r="A261" s="26" t="s">
        <v>62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43544</v>
      </c>
      <c r="B262" s="27"/>
      <c r="C262" s="32">
        <f>ROUND(14.3764,4)</f>
        <v>14.3764</v>
      </c>
      <c r="D262" s="32">
        <f>F262</f>
        <v>14.419</v>
      </c>
      <c r="E262" s="32">
        <f>F262</f>
        <v>14.419</v>
      </c>
      <c r="F262" s="32">
        <f>ROUND(14.419,4)</f>
        <v>14.419</v>
      </c>
      <c r="G262" s="28"/>
      <c r="H262" s="42"/>
    </row>
    <row r="263" spans="1:8" ht="12.75" customHeight="1">
      <c r="A263" s="26">
        <v>43546</v>
      </c>
      <c r="B263" s="27"/>
      <c r="C263" s="32">
        <f>ROUND(14.3764,4)</f>
        <v>14.3764</v>
      </c>
      <c r="D263" s="32">
        <f>F263</f>
        <v>14.3797</v>
      </c>
      <c r="E263" s="32">
        <f>F263</f>
        <v>14.3797</v>
      </c>
      <c r="F263" s="32">
        <f>ROUND(14.3797,4)</f>
        <v>14.3797</v>
      </c>
      <c r="G263" s="28"/>
      <c r="H263" s="42"/>
    </row>
    <row r="264" spans="1:8" ht="12.75" customHeight="1">
      <c r="A264" s="26">
        <v>43549</v>
      </c>
      <c r="B264" s="27"/>
      <c r="C264" s="32">
        <f>ROUND(14.3764,4)</f>
        <v>14.3764</v>
      </c>
      <c r="D264" s="32">
        <f>F264</f>
        <v>14.3848</v>
      </c>
      <c r="E264" s="32">
        <f>F264</f>
        <v>14.3848</v>
      </c>
      <c r="F264" s="32">
        <f>ROUND(14.3848,4)</f>
        <v>14.3848</v>
      </c>
      <c r="G264" s="28"/>
      <c r="H264" s="42"/>
    </row>
    <row r="265" spans="1:8" ht="12.75" customHeight="1">
      <c r="A265" s="26">
        <v>43551</v>
      </c>
      <c r="B265" s="27"/>
      <c r="C265" s="32">
        <f>ROUND(14.3764,4)</f>
        <v>14.3764</v>
      </c>
      <c r="D265" s="32">
        <f>F265</f>
        <v>14.3881</v>
      </c>
      <c r="E265" s="32">
        <f>F265</f>
        <v>14.3881</v>
      </c>
      <c r="F265" s="32">
        <f>ROUND(14.3881,4)</f>
        <v>14.3881</v>
      </c>
      <c r="G265" s="28"/>
      <c r="H265" s="42"/>
    </row>
    <row r="266" spans="1:8" ht="12.75" customHeight="1">
      <c r="A266" s="26">
        <v>43552</v>
      </c>
      <c r="B266" s="27"/>
      <c r="C266" s="32">
        <f>ROUND(14.3764,4)</f>
        <v>14.3764</v>
      </c>
      <c r="D266" s="32">
        <f>F266</f>
        <v>14.3898</v>
      </c>
      <c r="E266" s="32">
        <f>F266</f>
        <v>14.3898</v>
      </c>
      <c r="F266" s="32">
        <f>ROUND(14.3898,4)</f>
        <v>14.3898</v>
      </c>
      <c r="G266" s="28"/>
      <c r="H266" s="42"/>
    </row>
    <row r="267" spans="1:8" ht="12.75" customHeight="1">
      <c r="A267" s="26">
        <v>43553</v>
      </c>
      <c r="B267" s="27"/>
      <c r="C267" s="32">
        <f>ROUND(14.3764,4)</f>
        <v>14.3764</v>
      </c>
      <c r="D267" s="32">
        <f>F267</f>
        <v>14.3915</v>
      </c>
      <c r="E267" s="32">
        <f>F267</f>
        <v>14.3915</v>
      </c>
      <c r="F267" s="32">
        <f>ROUND(14.3915,4)</f>
        <v>14.3915</v>
      </c>
      <c r="G267" s="28"/>
      <c r="H267" s="42"/>
    </row>
    <row r="268" spans="1:8" ht="12.75" customHeight="1">
      <c r="A268" s="26">
        <v>43556</v>
      </c>
      <c r="B268" s="27"/>
      <c r="C268" s="32">
        <f>ROUND(14.3764,4)</f>
        <v>14.3764</v>
      </c>
      <c r="D268" s="32">
        <f>F268</f>
        <v>14.3965</v>
      </c>
      <c r="E268" s="32">
        <f>F268</f>
        <v>14.3965</v>
      </c>
      <c r="F268" s="32">
        <f>ROUND(14.3965,4)</f>
        <v>14.3965</v>
      </c>
      <c r="G268" s="28"/>
      <c r="H268" s="42"/>
    </row>
    <row r="269" spans="1:8" ht="12.75" customHeight="1">
      <c r="A269" s="26">
        <v>43557</v>
      </c>
      <c r="B269" s="27"/>
      <c r="C269" s="32">
        <f>ROUND(14.3764,4)</f>
        <v>14.3764</v>
      </c>
      <c r="D269" s="32">
        <f>F269</f>
        <v>14.3982</v>
      </c>
      <c r="E269" s="32">
        <f>F269</f>
        <v>14.3982</v>
      </c>
      <c r="F269" s="32">
        <f>ROUND(14.3982,4)</f>
        <v>14.3982</v>
      </c>
      <c r="G269" s="28"/>
      <c r="H269" s="42"/>
    </row>
    <row r="270" spans="1:8" ht="12.75" customHeight="1">
      <c r="A270" s="26">
        <v>43559</v>
      </c>
      <c r="B270" s="27"/>
      <c r="C270" s="32">
        <f>ROUND(14.3764,4)</f>
        <v>14.3764</v>
      </c>
      <c r="D270" s="32">
        <f>F270</f>
        <v>14.4015</v>
      </c>
      <c r="E270" s="32">
        <f>F270</f>
        <v>14.4015</v>
      </c>
      <c r="F270" s="32">
        <f>ROUND(14.4015,4)</f>
        <v>14.4015</v>
      </c>
      <c r="G270" s="28"/>
      <c r="H270" s="42"/>
    </row>
    <row r="271" spans="1:8" ht="12.75" customHeight="1">
      <c r="A271" s="26">
        <v>43560</v>
      </c>
      <c r="B271" s="27"/>
      <c r="C271" s="32">
        <f>ROUND(14.3764,4)</f>
        <v>14.3764</v>
      </c>
      <c r="D271" s="32">
        <f>F271</f>
        <v>14.4031</v>
      </c>
      <c r="E271" s="32">
        <f>F271</f>
        <v>14.4031</v>
      </c>
      <c r="F271" s="32">
        <f>ROUND(14.4031,4)</f>
        <v>14.4031</v>
      </c>
      <c r="G271" s="28"/>
      <c r="H271" s="42"/>
    </row>
    <row r="272" spans="1:8" ht="12.75" customHeight="1">
      <c r="A272" s="26">
        <v>43570</v>
      </c>
      <c r="B272" s="27"/>
      <c r="C272" s="32">
        <f>ROUND(14.3764,4)</f>
        <v>14.3764</v>
      </c>
      <c r="D272" s="32">
        <f>F272</f>
        <v>14.4198</v>
      </c>
      <c r="E272" s="32">
        <f>F272</f>
        <v>14.4198</v>
      </c>
      <c r="F272" s="32">
        <f>ROUND(14.4198,4)</f>
        <v>14.4198</v>
      </c>
      <c r="G272" s="28"/>
      <c r="H272" s="42"/>
    </row>
    <row r="273" spans="1:8" ht="12.75" customHeight="1">
      <c r="A273" s="26">
        <v>43572</v>
      </c>
      <c r="B273" s="27"/>
      <c r="C273" s="32">
        <f>ROUND(14.3764,4)</f>
        <v>14.3764</v>
      </c>
      <c r="D273" s="32">
        <f>F273</f>
        <v>14.4233</v>
      </c>
      <c r="E273" s="32">
        <f>F273</f>
        <v>14.4233</v>
      </c>
      <c r="F273" s="32">
        <f>ROUND(14.4233,4)</f>
        <v>14.4233</v>
      </c>
      <c r="G273" s="28"/>
      <c r="H273" s="42"/>
    </row>
    <row r="274" spans="1:8" ht="12.75" customHeight="1">
      <c r="A274" s="26">
        <v>43578</v>
      </c>
      <c r="B274" s="27"/>
      <c r="C274" s="32">
        <f>ROUND(14.3764,4)</f>
        <v>14.3764</v>
      </c>
      <c r="D274" s="32">
        <f>F274</f>
        <v>14.4335</v>
      </c>
      <c r="E274" s="32">
        <f>F274</f>
        <v>14.4335</v>
      </c>
      <c r="F274" s="32">
        <f>ROUND(14.4335,4)</f>
        <v>14.4335</v>
      </c>
      <c r="G274" s="28"/>
      <c r="H274" s="42"/>
    </row>
    <row r="275" spans="1:8" ht="12.75" customHeight="1">
      <c r="A275" s="26">
        <v>43581</v>
      </c>
      <c r="B275" s="27"/>
      <c r="C275" s="32">
        <f>ROUND(14.3764,4)</f>
        <v>14.3764</v>
      </c>
      <c r="D275" s="32">
        <f>F275</f>
        <v>14.4386</v>
      </c>
      <c r="E275" s="32">
        <f>F275</f>
        <v>14.4386</v>
      </c>
      <c r="F275" s="32">
        <f>ROUND(14.4386,4)</f>
        <v>14.4386</v>
      </c>
      <c r="G275" s="28"/>
      <c r="H275" s="42"/>
    </row>
    <row r="276" spans="1:8" ht="12.75" customHeight="1">
      <c r="A276" s="26">
        <v>43584</v>
      </c>
      <c r="B276" s="27"/>
      <c r="C276" s="32">
        <f>ROUND(14.3764,4)</f>
        <v>14.3764</v>
      </c>
      <c r="D276" s="32">
        <f>F276</f>
        <v>14.4437</v>
      </c>
      <c r="E276" s="32">
        <f>F276</f>
        <v>14.4437</v>
      </c>
      <c r="F276" s="32">
        <f>ROUND(14.4437,4)</f>
        <v>14.4437</v>
      </c>
      <c r="G276" s="28"/>
      <c r="H276" s="42"/>
    </row>
    <row r="277" spans="1:8" ht="12.75" customHeight="1">
      <c r="A277" s="26">
        <v>43585</v>
      </c>
      <c r="B277" s="27"/>
      <c r="C277" s="32">
        <f>ROUND(14.3764,4)</f>
        <v>14.3764</v>
      </c>
      <c r="D277" s="32">
        <f>F277</f>
        <v>14.4454</v>
      </c>
      <c r="E277" s="32">
        <f>F277</f>
        <v>14.4454</v>
      </c>
      <c r="F277" s="32">
        <f>ROUND(14.4454,4)</f>
        <v>14.4454</v>
      </c>
      <c r="G277" s="28"/>
      <c r="H277" s="42"/>
    </row>
    <row r="278" spans="1:8" ht="12.75" customHeight="1">
      <c r="A278" s="26">
        <v>43592</v>
      </c>
      <c r="B278" s="27"/>
      <c r="C278" s="32">
        <f>ROUND(14.3764,4)</f>
        <v>14.3764</v>
      </c>
      <c r="D278" s="32">
        <f>F278</f>
        <v>14.4574</v>
      </c>
      <c r="E278" s="32">
        <f>F278</f>
        <v>14.4574</v>
      </c>
      <c r="F278" s="32">
        <f>ROUND(14.4574,4)</f>
        <v>14.4574</v>
      </c>
      <c r="G278" s="28"/>
      <c r="H278" s="42"/>
    </row>
    <row r="279" spans="1:8" ht="12.75" customHeight="1">
      <c r="A279" s="26">
        <v>43594</v>
      </c>
      <c r="B279" s="27"/>
      <c r="C279" s="32">
        <f>ROUND(14.3764,4)</f>
        <v>14.3764</v>
      </c>
      <c r="D279" s="32">
        <f>F279</f>
        <v>14.4608</v>
      </c>
      <c r="E279" s="32">
        <f>F279</f>
        <v>14.4608</v>
      </c>
      <c r="F279" s="32">
        <f>ROUND(14.4608,4)</f>
        <v>14.4608</v>
      </c>
      <c r="G279" s="28"/>
      <c r="H279" s="42"/>
    </row>
    <row r="280" spans="1:8" ht="12.75" customHeight="1">
      <c r="A280" s="26">
        <v>43598</v>
      </c>
      <c r="B280" s="27"/>
      <c r="C280" s="32">
        <f>ROUND(14.3764,4)</f>
        <v>14.3764</v>
      </c>
      <c r="D280" s="32">
        <f>F280</f>
        <v>14.4676</v>
      </c>
      <c r="E280" s="32">
        <f>F280</f>
        <v>14.4676</v>
      </c>
      <c r="F280" s="32">
        <f>ROUND(14.4676,4)</f>
        <v>14.4676</v>
      </c>
      <c r="G280" s="28"/>
      <c r="H280" s="42"/>
    </row>
    <row r="281" spans="1:8" ht="12.75" customHeight="1">
      <c r="A281" s="26">
        <v>43605</v>
      </c>
      <c r="B281" s="27"/>
      <c r="C281" s="32">
        <f>ROUND(14.3764,4)</f>
        <v>14.3764</v>
      </c>
      <c r="D281" s="32">
        <f>F281</f>
        <v>14.4795</v>
      </c>
      <c r="E281" s="32">
        <f>F281</f>
        <v>14.4795</v>
      </c>
      <c r="F281" s="32">
        <f>ROUND(14.4795,4)</f>
        <v>14.4795</v>
      </c>
      <c r="G281" s="28"/>
      <c r="H281" s="42"/>
    </row>
    <row r="282" spans="1:8" ht="12.75" customHeight="1">
      <c r="A282" s="26">
        <v>43614</v>
      </c>
      <c r="B282" s="27"/>
      <c r="C282" s="32">
        <f>ROUND(14.3764,4)</f>
        <v>14.3764</v>
      </c>
      <c r="D282" s="32">
        <f>F282</f>
        <v>14.495</v>
      </c>
      <c r="E282" s="32">
        <f>F282</f>
        <v>14.495</v>
      </c>
      <c r="F282" s="32">
        <f>ROUND(14.495,4)</f>
        <v>14.495</v>
      </c>
      <c r="G282" s="28"/>
      <c r="H282" s="42"/>
    </row>
    <row r="283" spans="1:8" ht="12.75" customHeight="1">
      <c r="A283" s="26">
        <v>43616</v>
      </c>
      <c r="B283" s="27"/>
      <c r="C283" s="32">
        <f>ROUND(14.3764,4)</f>
        <v>14.3764</v>
      </c>
      <c r="D283" s="32">
        <f>F283</f>
        <v>14.4985</v>
      </c>
      <c r="E283" s="32">
        <f>F283</f>
        <v>14.4985</v>
      </c>
      <c r="F283" s="32">
        <f>ROUND(14.4985,4)</f>
        <v>14.4985</v>
      </c>
      <c r="G283" s="28"/>
      <c r="H283" s="42"/>
    </row>
    <row r="284" spans="1:8" ht="12.75" customHeight="1">
      <c r="A284" s="26">
        <v>43619</v>
      </c>
      <c r="B284" s="27"/>
      <c r="C284" s="32">
        <f>ROUND(14.3764,4)</f>
        <v>14.3764</v>
      </c>
      <c r="D284" s="32">
        <f>F284</f>
        <v>14.5037</v>
      </c>
      <c r="E284" s="32">
        <f>F284</f>
        <v>14.5037</v>
      </c>
      <c r="F284" s="32">
        <f>ROUND(14.5037,4)</f>
        <v>14.5037</v>
      </c>
      <c r="G284" s="28"/>
      <c r="H284" s="42"/>
    </row>
    <row r="285" spans="1:8" ht="12.75" customHeight="1">
      <c r="A285" s="26">
        <v>43620</v>
      </c>
      <c r="B285" s="27"/>
      <c r="C285" s="32">
        <f>ROUND(14.3764,4)</f>
        <v>14.3764</v>
      </c>
      <c r="D285" s="32">
        <f>F285</f>
        <v>14.5054</v>
      </c>
      <c r="E285" s="32">
        <f>F285</f>
        <v>14.5054</v>
      </c>
      <c r="F285" s="32">
        <f>ROUND(14.5054,4)</f>
        <v>14.5054</v>
      </c>
      <c r="G285" s="28"/>
      <c r="H285" s="42"/>
    </row>
    <row r="286" spans="1:8" ht="12.75" customHeight="1">
      <c r="A286" s="26">
        <v>43626</v>
      </c>
      <c r="B286" s="27"/>
      <c r="C286" s="32">
        <f>ROUND(14.3764,4)</f>
        <v>14.3764</v>
      </c>
      <c r="D286" s="32">
        <f>F286</f>
        <v>14.5158</v>
      </c>
      <c r="E286" s="32">
        <f>F286</f>
        <v>14.5158</v>
      </c>
      <c r="F286" s="32">
        <f>ROUND(14.5158,4)</f>
        <v>14.5158</v>
      </c>
      <c r="G286" s="28"/>
      <c r="H286" s="42"/>
    </row>
    <row r="287" spans="1:8" ht="12.75" customHeight="1">
      <c r="A287" s="26">
        <v>43636</v>
      </c>
      <c r="B287" s="27"/>
      <c r="C287" s="32">
        <f>ROUND(14.3764,4)</f>
        <v>14.3764</v>
      </c>
      <c r="D287" s="32">
        <f>F287</f>
        <v>14.5331</v>
      </c>
      <c r="E287" s="32">
        <f>F287</f>
        <v>14.5331</v>
      </c>
      <c r="F287" s="32">
        <f>ROUND(14.5331,4)</f>
        <v>14.5331</v>
      </c>
      <c r="G287" s="28"/>
      <c r="H287" s="42"/>
    </row>
    <row r="288" spans="1:8" ht="12.75" customHeight="1">
      <c r="A288" s="26">
        <v>43644</v>
      </c>
      <c r="B288" s="27"/>
      <c r="C288" s="32">
        <f>ROUND(14.3764,4)</f>
        <v>14.3764</v>
      </c>
      <c r="D288" s="32">
        <f>F288</f>
        <v>14.5469</v>
      </c>
      <c r="E288" s="32">
        <f>F288</f>
        <v>14.5469</v>
      </c>
      <c r="F288" s="32">
        <f>ROUND(14.5469,4)</f>
        <v>14.5469</v>
      </c>
      <c r="G288" s="28"/>
      <c r="H288" s="42"/>
    </row>
    <row r="289" spans="1:8" ht="12.75" customHeight="1">
      <c r="A289" s="26">
        <v>43647</v>
      </c>
      <c r="B289" s="27"/>
      <c r="C289" s="32">
        <f>ROUND(14.3764,4)</f>
        <v>14.3764</v>
      </c>
      <c r="D289" s="32">
        <f>F289</f>
        <v>14.5521</v>
      </c>
      <c r="E289" s="32">
        <f>F289</f>
        <v>14.5521</v>
      </c>
      <c r="F289" s="32">
        <f>ROUND(14.5521,4)</f>
        <v>14.5521</v>
      </c>
      <c r="G289" s="28"/>
      <c r="H289" s="42"/>
    </row>
    <row r="290" spans="1:8" ht="12.75" customHeight="1">
      <c r="A290" s="26">
        <v>43649</v>
      </c>
      <c r="B290" s="27"/>
      <c r="C290" s="32">
        <f>ROUND(14.3764,4)</f>
        <v>14.3764</v>
      </c>
      <c r="D290" s="32">
        <f>F290</f>
        <v>14.5555</v>
      </c>
      <c r="E290" s="32">
        <f>F290</f>
        <v>14.5555</v>
      </c>
      <c r="F290" s="32">
        <f>ROUND(14.5555,4)</f>
        <v>14.5555</v>
      </c>
      <c r="G290" s="28"/>
      <c r="H290" s="42"/>
    </row>
    <row r="291" spans="1:8" ht="12.75" customHeight="1">
      <c r="A291" s="26">
        <v>43677</v>
      </c>
      <c r="B291" s="27"/>
      <c r="C291" s="32">
        <f>ROUND(14.3764,4)</f>
        <v>14.3764</v>
      </c>
      <c r="D291" s="32">
        <f>F291</f>
        <v>14.6039</v>
      </c>
      <c r="E291" s="32">
        <f>F291</f>
        <v>14.6039</v>
      </c>
      <c r="F291" s="32">
        <f>ROUND(14.6039,4)</f>
        <v>14.6039</v>
      </c>
      <c r="G291" s="28"/>
      <c r="H291" s="42"/>
    </row>
    <row r="292" spans="1:8" ht="12.75" customHeight="1">
      <c r="A292" s="26">
        <v>43678</v>
      </c>
      <c r="B292" s="27"/>
      <c r="C292" s="32">
        <f>ROUND(14.3764,4)</f>
        <v>14.3764</v>
      </c>
      <c r="D292" s="32">
        <f>F292</f>
        <v>14.6056</v>
      </c>
      <c r="E292" s="32">
        <f>F292</f>
        <v>14.6056</v>
      </c>
      <c r="F292" s="32">
        <f>ROUND(14.6056,4)</f>
        <v>14.6056</v>
      </c>
      <c r="G292" s="28"/>
      <c r="H292" s="42"/>
    </row>
    <row r="293" spans="1:8" ht="12.75" customHeight="1">
      <c r="A293" s="26">
        <v>43690</v>
      </c>
      <c r="B293" s="27"/>
      <c r="C293" s="32">
        <f>ROUND(14.3764,4)</f>
        <v>14.3764</v>
      </c>
      <c r="D293" s="32">
        <f>F293</f>
        <v>14.6264</v>
      </c>
      <c r="E293" s="32">
        <f>F293</f>
        <v>14.6264</v>
      </c>
      <c r="F293" s="32">
        <f>ROUND(14.6264,4)</f>
        <v>14.6264</v>
      </c>
      <c r="G293" s="28"/>
      <c r="H293" s="42"/>
    </row>
    <row r="294" spans="1:8" ht="12.75" customHeight="1">
      <c r="A294" s="26">
        <v>43707</v>
      </c>
      <c r="B294" s="27"/>
      <c r="C294" s="32">
        <f>ROUND(14.3764,4)</f>
        <v>14.3764</v>
      </c>
      <c r="D294" s="32">
        <f>F294</f>
        <v>14.6558</v>
      </c>
      <c r="E294" s="32">
        <f>F294</f>
        <v>14.6558</v>
      </c>
      <c r="F294" s="32">
        <f>ROUND(14.6558,4)</f>
        <v>14.6558</v>
      </c>
      <c r="G294" s="28"/>
      <c r="H294" s="42"/>
    </row>
    <row r="295" spans="1:8" ht="12.75" customHeight="1">
      <c r="A295" s="26">
        <v>43710</v>
      </c>
      <c r="B295" s="27"/>
      <c r="C295" s="32">
        <f>ROUND(14.3764,4)</f>
        <v>14.3764</v>
      </c>
      <c r="D295" s="32">
        <f>F295</f>
        <v>14.661</v>
      </c>
      <c r="E295" s="32">
        <f>F295</f>
        <v>14.661</v>
      </c>
      <c r="F295" s="32">
        <f>ROUND(14.661,4)</f>
        <v>14.661</v>
      </c>
      <c r="G295" s="28"/>
      <c r="H295" s="42"/>
    </row>
    <row r="296" spans="1:8" ht="12.75" customHeight="1">
      <c r="A296" s="26">
        <v>43712</v>
      </c>
      <c r="B296" s="27"/>
      <c r="C296" s="32">
        <f>ROUND(14.3764,4)</f>
        <v>14.3764</v>
      </c>
      <c r="D296" s="32">
        <f>F296</f>
        <v>14.6645</v>
      </c>
      <c r="E296" s="32">
        <f>F296</f>
        <v>14.6645</v>
      </c>
      <c r="F296" s="32">
        <f>ROUND(14.6645,4)</f>
        <v>14.6645</v>
      </c>
      <c r="G296" s="28"/>
      <c r="H296" s="42"/>
    </row>
    <row r="297" spans="1:8" ht="12.75" customHeight="1">
      <c r="A297" s="26">
        <v>43713</v>
      </c>
      <c r="B297" s="27"/>
      <c r="C297" s="32">
        <f>ROUND(14.3764,4)</f>
        <v>14.3764</v>
      </c>
      <c r="D297" s="32">
        <f>F297</f>
        <v>14.6662</v>
      </c>
      <c r="E297" s="32">
        <f>F297</f>
        <v>14.6662</v>
      </c>
      <c r="F297" s="32">
        <f>ROUND(14.6662,4)</f>
        <v>14.6662</v>
      </c>
      <c r="G297" s="28"/>
      <c r="H297" s="42"/>
    </row>
    <row r="298" spans="1:8" ht="12.75" customHeight="1">
      <c r="A298" s="26">
        <v>43721</v>
      </c>
      <c r="B298" s="27"/>
      <c r="C298" s="32">
        <f>ROUND(14.3764,4)</f>
        <v>14.3764</v>
      </c>
      <c r="D298" s="32">
        <f>F298</f>
        <v>14.6801</v>
      </c>
      <c r="E298" s="32">
        <f>F298</f>
        <v>14.6801</v>
      </c>
      <c r="F298" s="32">
        <f>ROUND(14.6801,4)</f>
        <v>14.6801</v>
      </c>
      <c r="G298" s="28"/>
      <c r="H298" s="42"/>
    </row>
    <row r="299" spans="1:8" ht="12.75" customHeight="1">
      <c r="A299" s="26">
        <v>43738</v>
      </c>
      <c r="B299" s="27"/>
      <c r="C299" s="32">
        <f>ROUND(14.3764,4)</f>
        <v>14.3764</v>
      </c>
      <c r="D299" s="32">
        <f>F299</f>
        <v>14.7103</v>
      </c>
      <c r="E299" s="32">
        <f>F299</f>
        <v>14.7103</v>
      </c>
      <c r="F299" s="32">
        <f>ROUND(14.7103,4)</f>
        <v>14.7103</v>
      </c>
      <c r="G299" s="28"/>
      <c r="H299" s="42"/>
    </row>
    <row r="300" spans="1:8" ht="12.75" customHeight="1">
      <c r="A300" s="26">
        <v>43740</v>
      </c>
      <c r="B300" s="27"/>
      <c r="C300" s="32">
        <f>ROUND(14.3764,4)</f>
        <v>14.3764</v>
      </c>
      <c r="D300" s="32">
        <f>F300</f>
        <v>14.7139</v>
      </c>
      <c r="E300" s="32">
        <f>F300</f>
        <v>14.7139</v>
      </c>
      <c r="F300" s="32">
        <f>ROUND(14.7139,4)</f>
        <v>14.7139</v>
      </c>
      <c r="G300" s="28"/>
      <c r="H300" s="42"/>
    </row>
    <row r="301" spans="1:8" ht="12.75" customHeight="1">
      <c r="A301" s="26">
        <v>43769</v>
      </c>
      <c r="B301" s="27"/>
      <c r="C301" s="32">
        <f>ROUND(14.3764,4)</f>
        <v>14.3764</v>
      </c>
      <c r="D301" s="32">
        <f>F301</f>
        <v>14.766</v>
      </c>
      <c r="E301" s="32">
        <f>F301</f>
        <v>14.766</v>
      </c>
      <c r="F301" s="32">
        <f>ROUND(14.766,4)</f>
        <v>14.766</v>
      </c>
      <c r="G301" s="28"/>
      <c r="H301" s="42"/>
    </row>
    <row r="302" spans="1:8" ht="12.75" customHeight="1">
      <c r="A302" s="26">
        <v>43798</v>
      </c>
      <c r="B302" s="27"/>
      <c r="C302" s="32">
        <f>ROUND(14.3764,4)</f>
        <v>14.3764</v>
      </c>
      <c r="D302" s="32">
        <f>F302</f>
        <v>14.8184</v>
      </c>
      <c r="E302" s="32">
        <f>F302</f>
        <v>14.8184</v>
      </c>
      <c r="F302" s="32">
        <f>ROUND(14.8184,4)</f>
        <v>14.8184</v>
      </c>
      <c r="G302" s="28"/>
      <c r="H302" s="42"/>
    </row>
    <row r="303" spans="1:8" ht="12.75" customHeight="1">
      <c r="A303" s="26">
        <v>43801</v>
      </c>
      <c r="B303" s="27"/>
      <c r="C303" s="32">
        <f>ROUND(14.3764,4)</f>
        <v>14.3764</v>
      </c>
      <c r="D303" s="32">
        <f>F303</f>
        <v>14.8239</v>
      </c>
      <c r="E303" s="32">
        <f>F303</f>
        <v>14.8239</v>
      </c>
      <c r="F303" s="32">
        <f>ROUND(14.8239,4)</f>
        <v>14.8239</v>
      </c>
      <c r="G303" s="28"/>
      <c r="H303" s="42"/>
    </row>
    <row r="304" spans="1:8" ht="12.75" customHeight="1">
      <c r="A304" s="26">
        <v>43803</v>
      </c>
      <c r="B304" s="27"/>
      <c r="C304" s="32">
        <f>ROUND(14.3764,4)</f>
        <v>14.3764</v>
      </c>
      <c r="D304" s="32">
        <f>F304</f>
        <v>14.8275</v>
      </c>
      <c r="E304" s="32">
        <f>F304</f>
        <v>14.8275</v>
      </c>
      <c r="F304" s="32">
        <f>ROUND(14.8275,4)</f>
        <v>14.8275</v>
      </c>
      <c r="G304" s="28"/>
      <c r="H304" s="42"/>
    </row>
    <row r="305" spans="1:8" ht="12.75" customHeight="1">
      <c r="A305" s="26">
        <v>43830</v>
      </c>
      <c r="B305" s="27"/>
      <c r="C305" s="32">
        <f>ROUND(14.3764,4)</f>
        <v>14.3764</v>
      </c>
      <c r="D305" s="32">
        <f>F305</f>
        <v>14.8763</v>
      </c>
      <c r="E305" s="32">
        <f>F305</f>
        <v>14.8763</v>
      </c>
      <c r="F305" s="32">
        <f>ROUND(14.8763,4)</f>
        <v>14.8763</v>
      </c>
      <c r="G305" s="28"/>
      <c r="H305" s="42"/>
    </row>
    <row r="306" spans="1:8" ht="12.75" customHeight="1">
      <c r="A306" s="26">
        <v>43832</v>
      </c>
      <c r="B306" s="27"/>
      <c r="C306" s="32">
        <f>ROUND(14.3764,4)</f>
        <v>14.3764</v>
      </c>
      <c r="D306" s="32">
        <f>F306</f>
        <v>14.8798</v>
      </c>
      <c r="E306" s="32">
        <f>F306</f>
        <v>14.8798</v>
      </c>
      <c r="F306" s="32">
        <f>ROUND(14.8798,4)</f>
        <v>14.8798</v>
      </c>
      <c r="G306" s="28"/>
      <c r="H306" s="42"/>
    </row>
    <row r="307" spans="1:8" ht="12.75" customHeight="1">
      <c r="A307" s="26">
        <v>43861</v>
      </c>
      <c r="B307" s="27"/>
      <c r="C307" s="32">
        <f>ROUND(14.3764,4)</f>
        <v>14.3764</v>
      </c>
      <c r="D307" s="32">
        <f>F307</f>
        <v>14.932</v>
      </c>
      <c r="E307" s="32">
        <f>F307</f>
        <v>14.932</v>
      </c>
      <c r="F307" s="32">
        <f>ROUND(14.932,4)</f>
        <v>14.932</v>
      </c>
      <c r="G307" s="28"/>
      <c r="H307" s="42"/>
    </row>
    <row r="308" spans="1:8" ht="12.75" customHeight="1">
      <c r="A308" s="26">
        <v>43889</v>
      </c>
      <c r="B308" s="27"/>
      <c r="C308" s="32">
        <f>ROUND(14.3764,4)</f>
        <v>14.3764</v>
      </c>
      <c r="D308" s="32">
        <f>F308</f>
        <v>14.9835</v>
      </c>
      <c r="E308" s="32">
        <f>F308</f>
        <v>14.9835</v>
      </c>
      <c r="F308" s="32">
        <f>ROUND(14.9835,4)</f>
        <v>14.9835</v>
      </c>
      <c r="G308" s="28"/>
      <c r="H308" s="42"/>
    </row>
    <row r="309" spans="1:8" ht="12.75" customHeight="1">
      <c r="A309" s="26">
        <v>43892</v>
      </c>
      <c r="B309" s="27"/>
      <c r="C309" s="32">
        <f>ROUND(14.3764,4)</f>
        <v>14.3764</v>
      </c>
      <c r="D309" s="32">
        <f>F309</f>
        <v>14.9889</v>
      </c>
      <c r="E309" s="32">
        <f>F309</f>
        <v>14.9889</v>
      </c>
      <c r="F309" s="32">
        <f>ROUND(14.9889,4)</f>
        <v>14.9889</v>
      </c>
      <c r="G309" s="28"/>
      <c r="H309" s="42"/>
    </row>
    <row r="310" spans="1:8" ht="12.75" customHeight="1">
      <c r="A310" s="26">
        <v>43923</v>
      </c>
      <c r="B310" s="27"/>
      <c r="C310" s="32">
        <f>ROUND(14.3764,4)</f>
        <v>14.3764</v>
      </c>
      <c r="D310" s="32">
        <f>F310</f>
        <v>15.0457</v>
      </c>
      <c r="E310" s="32">
        <f>F310</f>
        <v>15.0457</v>
      </c>
      <c r="F310" s="32">
        <f>ROUND(15.0457,4)</f>
        <v>15.0457</v>
      </c>
      <c r="G310" s="28"/>
      <c r="H310" s="42"/>
    </row>
    <row r="311" spans="1:8" ht="12.75" customHeight="1">
      <c r="A311" s="26">
        <v>43950</v>
      </c>
      <c r="B311" s="27"/>
      <c r="C311" s="32">
        <f>ROUND(14.3764,4)</f>
        <v>14.3764</v>
      </c>
      <c r="D311" s="32">
        <f>F311</f>
        <v>15.0963</v>
      </c>
      <c r="E311" s="32">
        <f>F311</f>
        <v>15.0963</v>
      </c>
      <c r="F311" s="32">
        <f>ROUND(15.0963,4)</f>
        <v>15.0963</v>
      </c>
      <c r="G311" s="28"/>
      <c r="H311" s="42"/>
    </row>
    <row r="312" spans="1:8" ht="12.75" customHeight="1">
      <c r="A312" s="26">
        <v>43984</v>
      </c>
      <c r="B312" s="27"/>
      <c r="C312" s="32">
        <f>ROUND(14.3764,4)</f>
        <v>14.3764</v>
      </c>
      <c r="D312" s="32">
        <f>F312</f>
        <v>15.1601</v>
      </c>
      <c r="E312" s="32">
        <f>F312</f>
        <v>15.1601</v>
      </c>
      <c r="F312" s="32">
        <f>ROUND(15.1601,4)</f>
        <v>15.1601</v>
      </c>
      <c r="G312" s="28"/>
      <c r="H312" s="42"/>
    </row>
    <row r="313" spans="1:8" ht="12.75" customHeight="1">
      <c r="A313" s="26">
        <v>44001</v>
      </c>
      <c r="B313" s="27"/>
      <c r="C313" s="32">
        <f>ROUND(14.3764,4)</f>
        <v>14.3764</v>
      </c>
      <c r="D313" s="32">
        <f>F313</f>
        <v>14.4157</v>
      </c>
      <c r="E313" s="32">
        <f>F313</f>
        <v>14.4157</v>
      </c>
      <c r="F313" s="32">
        <f>ROUND(14.4157,4)</f>
        <v>14.4157</v>
      </c>
      <c r="G313" s="28"/>
      <c r="H313" s="42"/>
    </row>
    <row r="314" spans="1:8" ht="12.75" customHeight="1">
      <c r="A314" s="26">
        <v>44040</v>
      </c>
      <c r="B314" s="27"/>
      <c r="C314" s="32">
        <f>ROUND(14.3764,4)</f>
        <v>14.3764</v>
      </c>
      <c r="D314" s="32">
        <f>F314</f>
        <v>15.2692</v>
      </c>
      <c r="E314" s="32">
        <f>F314</f>
        <v>15.2692</v>
      </c>
      <c r="F314" s="32">
        <f>ROUND(15.2692,4)</f>
        <v>15.2692</v>
      </c>
      <c r="G314" s="28"/>
      <c r="H314" s="42"/>
    </row>
    <row r="315" spans="1:8" ht="12.75" customHeight="1">
      <c r="A315" s="26">
        <v>45676</v>
      </c>
      <c r="B315" s="27"/>
      <c r="C315" s="32">
        <f>ROUND(14.3764,4)</f>
        <v>14.3764</v>
      </c>
      <c r="D315" s="32">
        <f>F315</f>
        <v>14.1646</v>
      </c>
      <c r="E315" s="32">
        <f>F315</f>
        <v>14.1646</v>
      </c>
      <c r="F315" s="32">
        <f>ROUND(14.1646,4)</f>
        <v>14.1646</v>
      </c>
      <c r="G315" s="28"/>
      <c r="H315" s="42"/>
    </row>
    <row r="316" spans="1:8" ht="12.75" customHeight="1">
      <c r="A316" s="26">
        <v>45707</v>
      </c>
      <c r="B316" s="27"/>
      <c r="C316" s="32">
        <f>ROUND(14.3764,4)</f>
        <v>14.3764</v>
      </c>
      <c r="D316" s="32">
        <f>F316</f>
        <v>14.2161</v>
      </c>
      <c r="E316" s="32">
        <f>F316</f>
        <v>14.2161</v>
      </c>
      <c r="F316" s="32">
        <f>ROUND(14.2161,4)</f>
        <v>14.2161</v>
      </c>
      <c r="G316" s="28"/>
      <c r="H316" s="42"/>
    </row>
    <row r="317" spans="1:8" ht="12.75" customHeight="1">
      <c r="A317" s="26">
        <v>46131</v>
      </c>
      <c r="B317" s="27"/>
      <c r="C317" s="32">
        <f>ROUND(14.3764,4)</f>
        <v>14.3764</v>
      </c>
      <c r="D317" s="32">
        <f>F317</f>
        <v>14.3183</v>
      </c>
      <c r="E317" s="32">
        <f>F317</f>
        <v>14.3183</v>
      </c>
      <c r="F317" s="32">
        <f>ROUND(14.3183,4)</f>
        <v>14.3183</v>
      </c>
      <c r="G317" s="28"/>
      <c r="H317" s="42"/>
    </row>
    <row r="318" spans="1:8" ht="12.75" customHeight="1">
      <c r="A318" s="26">
        <v>46465</v>
      </c>
      <c r="B318" s="27"/>
      <c r="C318" s="32">
        <f>ROUND(14.3764,4)</f>
        <v>14.3764</v>
      </c>
      <c r="D318" s="32">
        <f>F318</f>
        <v>14.2668</v>
      </c>
      <c r="E318" s="32">
        <f>F318</f>
        <v>14.2668</v>
      </c>
      <c r="F318" s="32">
        <f>ROUND(14.2668,4)</f>
        <v>14.2668</v>
      </c>
      <c r="G318" s="28"/>
      <c r="H318" s="42"/>
    </row>
    <row r="319" spans="1:8" ht="12.75" customHeight="1">
      <c r="A319" s="26">
        <v>46802</v>
      </c>
      <c r="B319" s="27"/>
      <c r="C319" s="32">
        <f>ROUND(14.3764,4)</f>
        <v>14.3764</v>
      </c>
      <c r="D319" s="32">
        <f>F319</f>
        <v>14.2211</v>
      </c>
      <c r="E319" s="32">
        <f>F319</f>
        <v>14.2211</v>
      </c>
      <c r="F319" s="32">
        <f>ROUND(14.2211,4)</f>
        <v>14.2211</v>
      </c>
      <c r="G319" s="28"/>
      <c r="H319" s="42"/>
    </row>
    <row r="320" spans="1:8" ht="12.75" customHeight="1">
      <c r="A320" s="26">
        <v>46923</v>
      </c>
      <c r="B320" s="27"/>
      <c r="C320" s="32">
        <f>ROUND(14.3764,4)</f>
        <v>14.3764</v>
      </c>
      <c r="D320" s="32">
        <f>F320</f>
        <v>14.4296</v>
      </c>
      <c r="E320" s="32">
        <f>F320</f>
        <v>14.4296</v>
      </c>
      <c r="F320" s="32">
        <f>ROUND(14.4296,4)</f>
        <v>14.4296</v>
      </c>
      <c r="G320" s="28"/>
      <c r="H320" s="42"/>
    </row>
    <row r="321" spans="1:8" ht="12.75" customHeight="1">
      <c r="A321" s="26">
        <v>46954</v>
      </c>
      <c r="B321" s="27"/>
      <c r="C321" s="32">
        <f>ROUND(14.3764,4)</f>
        <v>14.3764</v>
      </c>
      <c r="D321" s="32">
        <f>F321</f>
        <v>15.1659</v>
      </c>
      <c r="E321" s="32">
        <f>F321</f>
        <v>15.1659</v>
      </c>
      <c r="F321" s="32">
        <f>ROUND(15.1659,4)</f>
        <v>15.1659</v>
      </c>
      <c r="G321" s="28"/>
      <c r="H321" s="42"/>
    </row>
    <row r="322" spans="1:8" ht="12.75" customHeight="1">
      <c r="A322" s="26">
        <v>47196</v>
      </c>
      <c r="B322" s="27"/>
      <c r="C322" s="32">
        <f>ROUND(14.3764,4)</f>
        <v>14.3764</v>
      </c>
      <c r="D322" s="32">
        <f>F322</f>
        <v>14.2703</v>
      </c>
      <c r="E322" s="32">
        <f>F322</f>
        <v>14.2703</v>
      </c>
      <c r="F322" s="32">
        <f>ROUND(14.2703,4)</f>
        <v>14.2703</v>
      </c>
      <c r="G322" s="28"/>
      <c r="H322" s="42"/>
    </row>
    <row r="323" spans="1:8" ht="12.75" customHeight="1">
      <c r="A323" s="26">
        <v>47228</v>
      </c>
      <c r="B323" s="27"/>
      <c r="C323" s="32">
        <f>ROUND(14.3764,4)</f>
        <v>14.3764</v>
      </c>
      <c r="D323" s="32">
        <f>F323</f>
        <v>14.9921</v>
      </c>
      <c r="E323" s="32">
        <f>F323</f>
        <v>14.9921</v>
      </c>
      <c r="F323" s="32">
        <f>ROUND(14.9921,4)</f>
        <v>14.9921</v>
      </c>
      <c r="G323" s="28"/>
      <c r="H323" s="42"/>
    </row>
    <row r="324" spans="1:8" ht="12.75" customHeight="1">
      <c r="A324" s="26">
        <v>47441</v>
      </c>
      <c r="B324" s="27"/>
      <c r="C324" s="32">
        <f>ROUND(14.3764,4)</f>
        <v>14.3764</v>
      </c>
      <c r="D324" s="32">
        <f>F324</f>
        <v>14.7085</v>
      </c>
      <c r="E324" s="32">
        <f>F324</f>
        <v>14.7085</v>
      </c>
      <c r="F324" s="32">
        <f>ROUND(14.7085,4)</f>
        <v>14.7085</v>
      </c>
      <c r="G324" s="28"/>
      <c r="H324" s="42"/>
    </row>
    <row r="325" spans="1:8" ht="12.75" customHeight="1">
      <c r="A325" s="26" t="s">
        <v>63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43630</v>
      </c>
      <c r="B326" s="27"/>
      <c r="C326" s="32">
        <f>ROUND(1.1358,4)</f>
        <v>1.1358</v>
      </c>
      <c r="D326" s="32">
        <f>F326</f>
        <v>1.144</v>
      </c>
      <c r="E326" s="32">
        <f>F326</f>
        <v>1.144</v>
      </c>
      <c r="F326" s="32">
        <f>ROUND(1.144,4)</f>
        <v>1.144</v>
      </c>
      <c r="G326" s="28"/>
      <c r="H326" s="42"/>
    </row>
    <row r="327" spans="1:8" ht="12.75" customHeight="1">
      <c r="A327" s="26">
        <v>43724</v>
      </c>
      <c r="B327" s="27"/>
      <c r="C327" s="32">
        <f>ROUND(1.1358,4)</f>
        <v>1.1358</v>
      </c>
      <c r="D327" s="32">
        <f>F327</f>
        <v>1.1529</v>
      </c>
      <c r="E327" s="32">
        <f>F327</f>
        <v>1.1529</v>
      </c>
      <c r="F327" s="32">
        <f>ROUND(1.1529,4)</f>
        <v>1.1529</v>
      </c>
      <c r="G327" s="28"/>
      <c r="H327" s="42"/>
    </row>
    <row r="328" spans="1:8" ht="12.75" customHeight="1">
      <c r="A328" s="26">
        <v>43812</v>
      </c>
      <c r="B328" s="27"/>
      <c r="C328" s="32">
        <f>ROUND(1.1358,4)</f>
        <v>1.1358</v>
      </c>
      <c r="D328" s="32">
        <f>F328</f>
        <v>1.1613</v>
      </c>
      <c r="E328" s="32">
        <f>F328</f>
        <v>1.1613</v>
      </c>
      <c r="F328" s="32">
        <f>ROUND(1.1613,4)</f>
        <v>1.1613</v>
      </c>
      <c r="G328" s="28"/>
      <c r="H328" s="42"/>
    </row>
    <row r="329" spans="1:8" ht="12.75" customHeight="1">
      <c r="A329" s="26">
        <v>43906</v>
      </c>
      <c r="B329" s="27"/>
      <c r="C329" s="32">
        <f>ROUND(1.1358,4)</f>
        <v>1.1358</v>
      </c>
      <c r="D329" s="32">
        <f>F329</f>
        <v>1.1706</v>
      </c>
      <c r="E329" s="32">
        <f>F329</f>
        <v>1.1706</v>
      </c>
      <c r="F329" s="32">
        <f>ROUND(1.1706,4)</f>
        <v>1.1706</v>
      </c>
      <c r="G329" s="28"/>
      <c r="H329" s="42"/>
    </row>
    <row r="330" spans="1:8" ht="12.75" customHeight="1">
      <c r="A330" s="26">
        <v>43994</v>
      </c>
      <c r="B330" s="27"/>
      <c r="C330" s="32">
        <f>ROUND(1.1358,4)</f>
        <v>1.1358</v>
      </c>
      <c r="D330" s="32">
        <f>F330</f>
        <v>1.1697</v>
      </c>
      <c r="E330" s="32">
        <f>F330</f>
        <v>1.1697</v>
      </c>
      <c r="F330" s="32">
        <f>ROUND(1.1697,4)</f>
        <v>1.1697</v>
      </c>
      <c r="G330" s="28"/>
      <c r="H330" s="42"/>
    </row>
    <row r="331" spans="1:8" ht="12.75" customHeight="1">
      <c r="A331" s="26" t="s">
        <v>64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43630</v>
      </c>
      <c r="B332" s="27"/>
      <c r="C332" s="32">
        <f>ROUND(1.3188,4)</f>
        <v>1.3188</v>
      </c>
      <c r="D332" s="32">
        <f>F332</f>
        <v>1.3244</v>
      </c>
      <c r="E332" s="32">
        <f>F332</f>
        <v>1.3244</v>
      </c>
      <c r="F332" s="32">
        <f>ROUND(1.3244,4)</f>
        <v>1.3244</v>
      </c>
      <c r="G332" s="28"/>
      <c r="H332" s="42"/>
    </row>
    <row r="333" spans="1:8" ht="12.75" customHeight="1">
      <c r="A333" s="26">
        <v>43724</v>
      </c>
      <c r="B333" s="27"/>
      <c r="C333" s="32">
        <f>ROUND(1.3188,4)</f>
        <v>1.3188</v>
      </c>
      <c r="D333" s="32">
        <f>F333</f>
        <v>1.3303</v>
      </c>
      <c r="E333" s="32">
        <f>F333</f>
        <v>1.3303</v>
      </c>
      <c r="F333" s="32">
        <f>ROUND(1.3303,4)</f>
        <v>1.3303</v>
      </c>
      <c r="G333" s="28"/>
      <c r="H333" s="42"/>
    </row>
    <row r="334" spans="1:8" ht="12.75" customHeight="1">
      <c r="A334" s="26">
        <v>43812</v>
      </c>
      <c r="B334" s="27"/>
      <c r="C334" s="32">
        <f>ROUND(1.3188,4)</f>
        <v>1.3188</v>
      </c>
      <c r="D334" s="32">
        <f>F334</f>
        <v>1.3356</v>
      </c>
      <c r="E334" s="32">
        <f>F334</f>
        <v>1.3356</v>
      </c>
      <c r="F334" s="32">
        <f>ROUND(1.3356,4)</f>
        <v>1.3356</v>
      </c>
      <c r="G334" s="28"/>
      <c r="H334" s="42"/>
    </row>
    <row r="335" spans="1:8" ht="12.75" customHeight="1">
      <c r="A335" s="26">
        <v>43906</v>
      </c>
      <c r="B335" s="27"/>
      <c r="C335" s="32">
        <f>ROUND(1.3188,4)</f>
        <v>1.3188</v>
      </c>
      <c r="D335" s="32">
        <f>F335</f>
        <v>1.3413</v>
      </c>
      <c r="E335" s="32">
        <f>F335</f>
        <v>1.3413</v>
      </c>
      <c r="F335" s="32">
        <f>ROUND(1.3413,4)</f>
        <v>1.3413</v>
      </c>
      <c r="G335" s="28"/>
      <c r="H335" s="42"/>
    </row>
    <row r="336" spans="1:8" ht="12.75" customHeight="1">
      <c r="A336" s="26">
        <v>43994</v>
      </c>
      <c r="B336" s="27"/>
      <c r="C336" s="32">
        <f>ROUND(1.3188,4)</f>
        <v>1.3188</v>
      </c>
      <c r="D336" s="32">
        <f>F336</f>
        <v>1.3112</v>
      </c>
      <c r="E336" s="32">
        <f>F336</f>
        <v>1.3112</v>
      </c>
      <c r="F336" s="32">
        <f>ROUND(1.3112,4)</f>
        <v>1.3112</v>
      </c>
      <c r="G336" s="28"/>
      <c r="H336" s="42"/>
    </row>
    <row r="337" spans="1:8" ht="12.75" customHeight="1">
      <c r="A337" s="26" t="s">
        <v>65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43630</v>
      </c>
      <c r="B338" s="27"/>
      <c r="C338" s="32">
        <f>ROUND(10.1972,4)</f>
        <v>10.1972</v>
      </c>
      <c r="D338" s="32">
        <f>F338</f>
        <v>10.3164</v>
      </c>
      <c r="E338" s="32">
        <f>F338</f>
        <v>10.3164</v>
      </c>
      <c r="F338" s="32">
        <f>ROUND(10.3164,4)</f>
        <v>10.3164</v>
      </c>
      <c r="G338" s="28"/>
      <c r="H338" s="42"/>
    </row>
    <row r="339" spans="1:8" ht="12.75" customHeight="1">
      <c r="A339" s="26">
        <v>43724</v>
      </c>
      <c r="B339" s="27"/>
      <c r="C339" s="32">
        <f>ROUND(10.1972,4)</f>
        <v>10.1972</v>
      </c>
      <c r="D339" s="32">
        <f>F339</f>
        <v>10.4515</v>
      </c>
      <c r="E339" s="32">
        <f>F339</f>
        <v>10.4515</v>
      </c>
      <c r="F339" s="32">
        <f>ROUND(10.4515,4)</f>
        <v>10.4515</v>
      </c>
      <c r="G339" s="28"/>
      <c r="H339" s="42"/>
    </row>
    <row r="340" spans="1:8" ht="12.75" customHeight="1">
      <c r="A340" s="26">
        <v>43812</v>
      </c>
      <c r="B340" s="27"/>
      <c r="C340" s="32">
        <f>ROUND(10.1972,4)</f>
        <v>10.1972</v>
      </c>
      <c r="D340" s="32">
        <f>F340</f>
        <v>10.5846</v>
      </c>
      <c r="E340" s="32">
        <f>F340</f>
        <v>10.5846</v>
      </c>
      <c r="F340" s="32">
        <f>ROUND(10.5846,4)</f>
        <v>10.5846</v>
      </c>
      <c r="G340" s="28"/>
      <c r="H340" s="42"/>
    </row>
    <row r="341" spans="1:8" ht="12.75" customHeight="1">
      <c r="A341" s="26">
        <v>43906</v>
      </c>
      <c r="B341" s="27"/>
      <c r="C341" s="32">
        <f>ROUND(10.1972,4)</f>
        <v>10.1972</v>
      </c>
      <c r="D341" s="32">
        <f>F341</f>
        <v>10.7293</v>
      </c>
      <c r="E341" s="32">
        <f>F341</f>
        <v>10.7293</v>
      </c>
      <c r="F341" s="32">
        <f>ROUND(10.7293,4)</f>
        <v>10.7293</v>
      </c>
      <c r="G341" s="28"/>
      <c r="H341" s="42"/>
    </row>
    <row r="342" spans="1:8" ht="12.75" customHeight="1">
      <c r="A342" s="26">
        <v>43994</v>
      </c>
      <c r="B342" s="27"/>
      <c r="C342" s="32">
        <f>ROUND(10.1972,4)</f>
        <v>10.1972</v>
      </c>
      <c r="D342" s="32">
        <f>F342</f>
        <v>10.6497</v>
      </c>
      <c r="E342" s="32">
        <f>F342</f>
        <v>10.6497</v>
      </c>
      <c r="F342" s="32">
        <f>ROUND(10.6497,4)</f>
        <v>10.6497</v>
      </c>
      <c r="G342" s="28"/>
      <c r="H342" s="42"/>
    </row>
    <row r="343" spans="1:8" ht="12.75" customHeight="1">
      <c r="A343" s="26">
        <v>44088</v>
      </c>
      <c r="B343" s="27"/>
      <c r="C343" s="32">
        <f>ROUND(10.1972,4)</f>
        <v>10.1972</v>
      </c>
      <c r="D343" s="32">
        <f>F343</f>
        <v>10.7944</v>
      </c>
      <c r="E343" s="32">
        <f>F343</f>
        <v>10.7944</v>
      </c>
      <c r="F343" s="32">
        <f>ROUND(10.7944,4)</f>
        <v>10.7944</v>
      </c>
      <c r="G343" s="28"/>
      <c r="H343" s="42"/>
    </row>
    <row r="344" spans="1:8" ht="12.75" customHeight="1">
      <c r="A344" s="26">
        <v>44179</v>
      </c>
      <c r="B344" s="27"/>
      <c r="C344" s="32">
        <f>ROUND(10.1972,4)</f>
        <v>10.1972</v>
      </c>
      <c r="D344" s="32">
        <f>F344</f>
        <v>10.9331</v>
      </c>
      <c r="E344" s="32">
        <f>F344</f>
        <v>10.9331</v>
      </c>
      <c r="F344" s="32">
        <f>ROUND(10.9331,4)</f>
        <v>10.9331</v>
      </c>
      <c r="G344" s="28"/>
      <c r="H344" s="42"/>
    </row>
    <row r="345" spans="1:8" ht="12.75" customHeight="1">
      <c r="A345" s="26" t="s">
        <v>66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43630</v>
      </c>
      <c r="B346" s="27"/>
      <c r="C346" s="32">
        <f>ROUND(3.75719750078271,4)</f>
        <v>3.7572</v>
      </c>
      <c r="D346" s="32">
        <f>F346</f>
        <v>4.1017</v>
      </c>
      <c r="E346" s="32">
        <f>F346</f>
        <v>4.1017</v>
      </c>
      <c r="F346" s="32">
        <f>ROUND(4.1017,4)</f>
        <v>4.1017</v>
      </c>
      <c r="G346" s="28"/>
      <c r="H346" s="42"/>
    </row>
    <row r="347" spans="1:8" ht="12.75" customHeight="1">
      <c r="A347" s="26">
        <v>43724</v>
      </c>
      <c r="B347" s="27"/>
      <c r="C347" s="32">
        <f>ROUND(3.75719750078271,4)</f>
        <v>3.7572</v>
      </c>
      <c r="D347" s="32">
        <f>F347</f>
        <v>4.1556</v>
      </c>
      <c r="E347" s="32">
        <f>F347</f>
        <v>4.1556</v>
      </c>
      <c r="F347" s="32">
        <f>ROUND(4.1556,4)</f>
        <v>4.1556</v>
      </c>
      <c r="G347" s="28"/>
      <c r="H347" s="42"/>
    </row>
    <row r="348" spans="1:8" ht="12.75" customHeight="1">
      <c r="A348" s="26" t="s">
        <v>67</v>
      </c>
      <c r="B348" s="27"/>
      <c r="C348" s="29"/>
      <c r="D348" s="29"/>
      <c r="E348" s="29"/>
      <c r="F348" s="29"/>
      <c r="G348" s="28"/>
      <c r="H348" s="42"/>
    </row>
    <row r="349" spans="1:8" ht="12.75" customHeight="1">
      <c r="A349" s="26">
        <v>43630</v>
      </c>
      <c r="B349" s="27"/>
      <c r="C349" s="32">
        <f>ROUND(1.3446,4)</f>
        <v>1.3446</v>
      </c>
      <c r="D349" s="32">
        <f>F349</f>
        <v>1.3508</v>
      </c>
      <c r="E349" s="32">
        <f>F349</f>
        <v>1.3508</v>
      </c>
      <c r="F349" s="32">
        <f>ROUND(1.3508,4)</f>
        <v>1.3508</v>
      </c>
      <c r="G349" s="28"/>
      <c r="H349" s="42"/>
    </row>
    <row r="350" spans="1:8" ht="12.75" customHeight="1">
      <c r="A350" s="26">
        <v>43724</v>
      </c>
      <c r="B350" s="27"/>
      <c r="C350" s="32">
        <f>ROUND(1.3446,4)</f>
        <v>1.3446</v>
      </c>
      <c r="D350" s="32">
        <f>F350</f>
        <v>1.3564</v>
      </c>
      <c r="E350" s="32">
        <f>F350</f>
        <v>1.3564</v>
      </c>
      <c r="F350" s="32">
        <f>ROUND(1.3564,4)</f>
        <v>1.3564</v>
      </c>
      <c r="G350" s="28"/>
      <c r="H350" s="42"/>
    </row>
    <row r="351" spans="1:8" ht="12.75" customHeight="1">
      <c r="A351" s="26">
        <v>43812</v>
      </c>
      <c r="B351" s="27"/>
      <c r="C351" s="32">
        <f>ROUND(1.3446,4)</f>
        <v>1.3446</v>
      </c>
      <c r="D351" s="32">
        <f>F351</f>
        <v>1.3606</v>
      </c>
      <c r="E351" s="32">
        <f>F351</f>
        <v>1.3606</v>
      </c>
      <c r="F351" s="32">
        <f>ROUND(1.3606,4)</f>
        <v>1.3606</v>
      </c>
      <c r="G351" s="28"/>
      <c r="H351" s="42"/>
    </row>
    <row r="352" spans="1:8" ht="12.75" customHeight="1">
      <c r="A352" s="26">
        <v>43906</v>
      </c>
      <c r="B352" s="27"/>
      <c r="C352" s="32">
        <f>ROUND(1.3446,4)</f>
        <v>1.3446</v>
      </c>
      <c r="D352" s="32">
        <f>F352</f>
        <v>1.4358</v>
      </c>
      <c r="E352" s="32">
        <f>F352</f>
        <v>1.4358</v>
      </c>
      <c r="F352" s="32">
        <f>ROUND(1.4358,4)</f>
        <v>1.4358</v>
      </c>
      <c r="G352" s="28"/>
      <c r="H352" s="42"/>
    </row>
    <row r="353" spans="1:8" ht="12.75" customHeight="1">
      <c r="A353" s="26">
        <v>43994</v>
      </c>
      <c r="B353" s="27"/>
      <c r="C353" s="32">
        <f>ROUND(1.3446,4)</f>
        <v>1.3446</v>
      </c>
      <c r="D353" s="32">
        <f>F353</f>
        <v>1.4547</v>
      </c>
      <c r="E353" s="32">
        <f>F353</f>
        <v>1.4547</v>
      </c>
      <c r="F353" s="32">
        <f>ROUND(1.4547,4)</f>
        <v>1.4547</v>
      </c>
      <c r="G353" s="28"/>
      <c r="H353" s="42"/>
    </row>
    <row r="354" spans="1:8" ht="12.75" customHeight="1">
      <c r="A354" s="26">
        <v>44088</v>
      </c>
      <c r="B354" s="27"/>
      <c r="C354" s="32">
        <f>ROUND(1.3446,4)</f>
        <v>1.3446</v>
      </c>
      <c r="D354" s="32">
        <f>F354</f>
        <v>1.4747</v>
      </c>
      <c r="E354" s="32">
        <f>F354</f>
        <v>1.4747</v>
      </c>
      <c r="F354" s="32">
        <f>ROUND(1.4747,4)</f>
        <v>1.4747</v>
      </c>
      <c r="G354" s="28"/>
      <c r="H354" s="42"/>
    </row>
    <row r="355" spans="1:8" ht="12.75" customHeight="1">
      <c r="A355" s="26">
        <v>44179</v>
      </c>
      <c r="B355" s="27"/>
      <c r="C355" s="32">
        <f>ROUND(1.3446,4)</f>
        <v>1.3446</v>
      </c>
      <c r="D355" s="32">
        <f>F355</f>
        <v>1.4961</v>
      </c>
      <c r="E355" s="32">
        <f>F355</f>
        <v>1.4961</v>
      </c>
      <c r="F355" s="32">
        <f>ROUND(1.4961,4)</f>
        <v>1.4961</v>
      </c>
      <c r="G355" s="28"/>
      <c r="H355" s="42"/>
    </row>
    <row r="356" spans="1:8" ht="12.75" customHeight="1">
      <c r="A356" s="26" t="s">
        <v>68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43630</v>
      </c>
      <c r="B357" s="27"/>
      <c r="C357" s="32">
        <f>ROUND(10.7764,4)</f>
        <v>10.7764</v>
      </c>
      <c r="D357" s="32">
        <f>F357</f>
        <v>10.9093</v>
      </c>
      <c r="E357" s="32">
        <f>F357</f>
        <v>10.9093</v>
      </c>
      <c r="F357" s="32">
        <f>ROUND(10.9093,4)</f>
        <v>10.9093</v>
      </c>
      <c r="G357" s="28"/>
      <c r="H357" s="42"/>
    </row>
    <row r="358" spans="1:8" ht="12.75" customHeight="1">
      <c r="A358" s="26">
        <v>43724</v>
      </c>
      <c r="B358" s="27"/>
      <c r="C358" s="32">
        <f>ROUND(10.7764,4)</f>
        <v>10.7764</v>
      </c>
      <c r="D358" s="32">
        <f>F358</f>
        <v>11.0553</v>
      </c>
      <c r="E358" s="32">
        <f>F358</f>
        <v>11.0553</v>
      </c>
      <c r="F358" s="32">
        <f>ROUND(11.0553,4)</f>
        <v>11.0553</v>
      </c>
      <c r="G358" s="28"/>
      <c r="H358" s="42"/>
    </row>
    <row r="359" spans="1:8" ht="12.75" customHeight="1">
      <c r="A359" s="26">
        <v>43812</v>
      </c>
      <c r="B359" s="27"/>
      <c r="C359" s="32">
        <f>ROUND(10.7764,4)</f>
        <v>10.7764</v>
      </c>
      <c r="D359" s="32">
        <f>F359</f>
        <v>11.1966</v>
      </c>
      <c r="E359" s="32">
        <f>F359</f>
        <v>11.1966</v>
      </c>
      <c r="F359" s="32">
        <f>ROUND(11.1966,4)</f>
        <v>11.1966</v>
      </c>
      <c r="G359" s="28"/>
      <c r="H359" s="42"/>
    </row>
    <row r="360" spans="1:8" ht="12.75" customHeight="1">
      <c r="A360" s="26">
        <v>43906</v>
      </c>
      <c r="B360" s="27"/>
      <c r="C360" s="32">
        <f>ROUND(10.7764,4)</f>
        <v>10.7764</v>
      </c>
      <c r="D360" s="32">
        <f>F360</f>
        <v>11.3502</v>
      </c>
      <c r="E360" s="32">
        <f>F360</f>
        <v>11.3502</v>
      </c>
      <c r="F360" s="32">
        <f>ROUND(11.3502,4)</f>
        <v>11.3502</v>
      </c>
      <c r="G360" s="28"/>
      <c r="H360" s="42"/>
    </row>
    <row r="361" spans="1:8" ht="12.75" customHeight="1">
      <c r="A361" s="26">
        <v>43994</v>
      </c>
      <c r="B361" s="27"/>
      <c r="C361" s="32">
        <f>ROUND(10.7764,4)</f>
        <v>10.7764</v>
      </c>
      <c r="D361" s="32">
        <f>F361</f>
        <v>11.0647</v>
      </c>
      <c r="E361" s="32">
        <f>F361</f>
        <v>11.0647</v>
      </c>
      <c r="F361" s="32">
        <f>ROUND(11.0647,4)</f>
        <v>11.0647</v>
      </c>
      <c r="G361" s="28"/>
      <c r="H361" s="42"/>
    </row>
    <row r="362" spans="1:8" ht="12.75" customHeight="1">
      <c r="A362" s="26">
        <v>44088</v>
      </c>
      <c r="B362" s="27"/>
      <c r="C362" s="32">
        <f>ROUND(10.7764,4)</f>
        <v>10.7764</v>
      </c>
      <c r="D362" s="32">
        <f>F362</f>
        <v>11.0883</v>
      </c>
      <c r="E362" s="32">
        <f>F362</f>
        <v>11.0883</v>
      </c>
      <c r="F362" s="32">
        <f>ROUND(11.0883,4)</f>
        <v>11.0883</v>
      </c>
      <c r="G362" s="28"/>
      <c r="H362" s="42"/>
    </row>
    <row r="363" spans="1:8" ht="12.75" customHeight="1">
      <c r="A363" s="26">
        <v>44179</v>
      </c>
      <c r="B363" s="27"/>
      <c r="C363" s="32">
        <f>ROUND(10.7764,4)</f>
        <v>10.7764</v>
      </c>
      <c r="D363" s="32">
        <f>F363</f>
        <v>11.2249</v>
      </c>
      <c r="E363" s="32">
        <f>F363</f>
        <v>11.2249</v>
      </c>
      <c r="F363" s="32">
        <f>ROUND(11.2249,4)</f>
        <v>11.2249</v>
      </c>
      <c r="G363" s="28"/>
      <c r="H363" s="42"/>
    </row>
    <row r="364" spans="1:8" ht="12.75" customHeight="1">
      <c r="A364" s="26" t="s">
        <v>69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43630</v>
      </c>
      <c r="B365" s="27"/>
      <c r="C365" s="32">
        <f>ROUND(2.446,4)</f>
        <v>2.446</v>
      </c>
      <c r="D365" s="32">
        <f>F365</f>
        <v>2.1681</v>
      </c>
      <c r="E365" s="32">
        <f>F365</f>
        <v>2.1681</v>
      </c>
      <c r="F365" s="32">
        <f>ROUND(2.1681,4)</f>
        <v>2.1681</v>
      </c>
      <c r="G365" s="28"/>
      <c r="H365" s="42"/>
    </row>
    <row r="366" spans="1:8" ht="12.75" customHeight="1">
      <c r="A366" s="26">
        <v>43724</v>
      </c>
      <c r="B366" s="27"/>
      <c r="C366" s="32">
        <f>ROUND(2.446,4)</f>
        <v>2.446</v>
      </c>
      <c r="D366" s="32">
        <f>F366</f>
        <v>2.1919</v>
      </c>
      <c r="E366" s="32">
        <f>F366</f>
        <v>2.1919</v>
      </c>
      <c r="F366" s="32">
        <f>ROUND(2.1919,4)</f>
        <v>2.1919</v>
      </c>
      <c r="G366" s="28"/>
      <c r="H366" s="42"/>
    </row>
    <row r="367" spans="1:8" ht="12.75" customHeight="1">
      <c r="A367" s="26">
        <v>43812</v>
      </c>
      <c r="B367" s="27"/>
      <c r="C367" s="32">
        <f>ROUND(2.446,4)</f>
        <v>2.446</v>
      </c>
      <c r="D367" s="32">
        <f>F367</f>
        <v>2.2147</v>
      </c>
      <c r="E367" s="32">
        <f>F367</f>
        <v>2.2147</v>
      </c>
      <c r="F367" s="32">
        <f>ROUND(2.2147,4)</f>
        <v>2.2147</v>
      </c>
      <c r="G367" s="28"/>
      <c r="H367" s="42"/>
    </row>
    <row r="368" spans="1:8" ht="12.75" customHeight="1">
      <c r="A368" s="26">
        <v>43906</v>
      </c>
      <c r="B368" s="27"/>
      <c r="C368" s="32">
        <f>ROUND(2.446,4)</f>
        <v>2.446</v>
      </c>
      <c r="D368" s="32">
        <f>F368</f>
        <v>2.135</v>
      </c>
      <c r="E368" s="32">
        <f>F368</f>
        <v>2.135</v>
      </c>
      <c r="F368" s="32">
        <f>ROUND(2.135,4)</f>
        <v>2.135</v>
      </c>
      <c r="G368" s="28"/>
      <c r="H368" s="42"/>
    </row>
    <row r="369" spans="1:8" ht="12.75" customHeight="1">
      <c r="A369" s="26">
        <v>43994</v>
      </c>
      <c r="B369" s="27"/>
      <c r="C369" s="32">
        <f>ROUND(2.446,4)</f>
        <v>2.446</v>
      </c>
      <c r="D369" s="32">
        <f>F369</f>
        <v>2.1586</v>
      </c>
      <c r="E369" s="32">
        <f>F369</f>
        <v>2.1586</v>
      </c>
      <c r="F369" s="32">
        <f>ROUND(2.1586,4)</f>
        <v>2.1586</v>
      </c>
      <c r="G369" s="28"/>
      <c r="H369" s="42"/>
    </row>
    <row r="370" spans="1:8" ht="12.75" customHeight="1">
      <c r="A370" s="26">
        <v>44088</v>
      </c>
      <c r="B370" s="27"/>
      <c r="C370" s="32">
        <f>ROUND(2.446,4)</f>
        <v>2.446</v>
      </c>
      <c r="D370" s="32">
        <f>F370</f>
        <v>2.1837</v>
      </c>
      <c r="E370" s="32">
        <f>F370</f>
        <v>2.1837</v>
      </c>
      <c r="F370" s="32">
        <f>ROUND(2.1837,4)</f>
        <v>2.1837</v>
      </c>
      <c r="G370" s="28"/>
      <c r="H370" s="42"/>
    </row>
    <row r="371" spans="1:8" ht="12.75" customHeight="1">
      <c r="A371" s="26">
        <v>44179</v>
      </c>
      <c r="B371" s="27"/>
      <c r="C371" s="32">
        <f>ROUND(2.446,4)</f>
        <v>2.446</v>
      </c>
      <c r="D371" s="32">
        <f>F371</f>
        <v>2.208</v>
      </c>
      <c r="E371" s="32">
        <f>F371</f>
        <v>2.208</v>
      </c>
      <c r="F371" s="32">
        <f>ROUND(2.208,4)</f>
        <v>2.208</v>
      </c>
      <c r="G371" s="28"/>
      <c r="H371" s="42"/>
    </row>
    <row r="372" spans="1:8" ht="12.75" customHeight="1">
      <c r="A372" s="26" t="s">
        <v>70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43630</v>
      </c>
      <c r="B373" s="27"/>
      <c r="C373" s="32">
        <f>ROUND(2.188,4)</f>
        <v>2.188</v>
      </c>
      <c r="D373" s="32">
        <f>F373</f>
        <v>2.2273</v>
      </c>
      <c r="E373" s="32">
        <f>F373</f>
        <v>2.2273</v>
      </c>
      <c r="F373" s="32">
        <f>ROUND(2.2273,4)</f>
        <v>2.2273</v>
      </c>
      <c r="G373" s="28"/>
      <c r="H373" s="42"/>
    </row>
    <row r="374" spans="1:8" ht="12.75" customHeight="1">
      <c r="A374" s="26">
        <v>43724</v>
      </c>
      <c r="B374" s="27"/>
      <c r="C374" s="32">
        <f>ROUND(2.188,4)</f>
        <v>2.188</v>
      </c>
      <c r="D374" s="32">
        <f>F374</f>
        <v>2.2712</v>
      </c>
      <c r="E374" s="32">
        <f>F374</f>
        <v>2.2712</v>
      </c>
      <c r="F374" s="32">
        <f>ROUND(2.2712,4)</f>
        <v>2.2712</v>
      </c>
      <c r="G374" s="28"/>
      <c r="H374" s="42"/>
    </row>
    <row r="375" spans="1:8" ht="12.75" customHeight="1">
      <c r="A375" s="26">
        <v>43812</v>
      </c>
      <c r="B375" s="27"/>
      <c r="C375" s="32">
        <f>ROUND(2.188,4)</f>
        <v>2.188</v>
      </c>
      <c r="D375" s="32">
        <f>F375</f>
        <v>2.3137</v>
      </c>
      <c r="E375" s="32">
        <f>F375</f>
        <v>2.3137</v>
      </c>
      <c r="F375" s="32">
        <f>ROUND(2.3137,4)</f>
        <v>2.3137</v>
      </c>
      <c r="G375" s="28"/>
      <c r="H375" s="42"/>
    </row>
    <row r="376" spans="1:8" ht="12.75" customHeight="1">
      <c r="A376" s="26">
        <v>43906</v>
      </c>
      <c r="B376" s="27"/>
      <c r="C376" s="32">
        <f>ROUND(2.188,4)</f>
        <v>2.188</v>
      </c>
      <c r="D376" s="32">
        <f>F376</f>
        <v>2.3603</v>
      </c>
      <c r="E376" s="32">
        <f>F376</f>
        <v>2.3603</v>
      </c>
      <c r="F376" s="32">
        <f>ROUND(2.3603,4)</f>
        <v>2.3603</v>
      </c>
      <c r="G376" s="28"/>
      <c r="H376" s="42"/>
    </row>
    <row r="377" spans="1:8" ht="12.75" customHeight="1">
      <c r="A377" s="26">
        <v>43994</v>
      </c>
      <c r="B377" s="27"/>
      <c r="C377" s="32">
        <f>ROUND(2.188,4)</f>
        <v>2.188</v>
      </c>
      <c r="D377" s="32">
        <f>F377</f>
        <v>2.431</v>
      </c>
      <c r="E377" s="32">
        <f>F377</f>
        <v>2.431</v>
      </c>
      <c r="F377" s="32">
        <f>ROUND(2.431,4)</f>
        <v>2.431</v>
      </c>
      <c r="G377" s="28"/>
      <c r="H377" s="42"/>
    </row>
    <row r="378" spans="1:8" ht="12.75" customHeight="1">
      <c r="A378" s="26">
        <v>44088</v>
      </c>
      <c r="B378" s="27"/>
      <c r="C378" s="32">
        <f>ROUND(2.188,4)</f>
        <v>2.188</v>
      </c>
      <c r="D378" s="32">
        <f>F378</f>
        <v>2.4953</v>
      </c>
      <c r="E378" s="32">
        <f>F378</f>
        <v>2.4953</v>
      </c>
      <c r="F378" s="32">
        <f>ROUND(2.4953,4)</f>
        <v>2.4953</v>
      </c>
      <c r="G378" s="28"/>
      <c r="H378" s="42"/>
    </row>
    <row r="379" spans="1:8" ht="12.75" customHeight="1">
      <c r="A379" s="26">
        <v>44179</v>
      </c>
      <c r="B379" s="27"/>
      <c r="C379" s="32">
        <f>ROUND(2.188,4)</f>
        <v>2.188</v>
      </c>
      <c r="D379" s="32">
        <f>F379</f>
        <v>2.5626</v>
      </c>
      <c r="E379" s="32">
        <f>F379</f>
        <v>2.5626</v>
      </c>
      <c r="F379" s="32">
        <f>ROUND(2.5626,4)</f>
        <v>2.5626</v>
      </c>
      <c r="G379" s="28"/>
      <c r="H379" s="42"/>
    </row>
    <row r="380" spans="1:8" ht="12.75" customHeight="1">
      <c r="A380" s="26" t="s">
        <v>71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43630</v>
      </c>
      <c r="B381" s="27"/>
      <c r="C381" s="32">
        <f>ROUND(16.3285,4)</f>
        <v>16.3285</v>
      </c>
      <c r="D381" s="32">
        <f>F381</f>
        <v>16.6141</v>
      </c>
      <c r="E381" s="32">
        <f>F381</f>
        <v>16.6141</v>
      </c>
      <c r="F381" s="32">
        <f>ROUND(16.6141,4)</f>
        <v>16.6141</v>
      </c>
      <c r="G381" s="28"/>
      <c r="H381" s="42"/>
    </row>
    <row r="382" spans="1:8" ht="12.75" customHeight="1">
      <c r="A382" s="26">
        <v>43724</v>
      </c>
      <c r="B382" s="27"/>
      <c r="C382" s="32">
        <f>ROUND(16.3285,4)</f>
        <v>16.3285</v>
      </c>
      <c r="D382" s="32">
        <f>F382</f>
        <v>16.9314</v>
      </c>
      <c r="E382" s="32">
        <f>F382</f>
        <v>16.9314</v>
      </c>
      <c r="F382" s="32">
        <f>ROUND(16.9314,4)</f>
        <v>16.9314</v>
      </c>
      <c r="G382" s="28"/>
      <c r="H382" s="42"/>
    </row>
    <row r="383" spans="1:8" ht="12.75" customHeight="1">
      <c r="A383" s="26">
        <v>43812</v>
      </c>
      <c r="B383" s="27"/>
      <c r="C383" s="32">
        <f>ROUND(16.3285,4)</f>
        <v>16.3285</v>
      </c>
      <c r="D383" s="32">
        <f>F383</f>
        <v>17.2384</v>
      </c>
      <c r="E383" s="32">
        <f>F383</f>
        <v>17.2384</v>
      </c>
      <c r="F383" s="32">
        <f>ROUND(17.2384,4)</f>
        <v>17.2384</v>
      </c>
      <c r="G383" s="28"/>
      <c r="H383" s="42"/>
    </row>
    <row r="384" spans="1:8" ht="12.75" customHeight="1">
      <c r="A384" s="26">
        <v>43906</v>
      </c>
      <c r="B384" s="27"/>
      <c r="C384" s="32">
        <f>ROUND(16.3285,4)</f>
        <v>16.3285</v>
      </c>
      <c r="D384" s="32">
        <f>F384</f>
        <v>17.5756</v>
      </c>
      <c r="E384" s="32">
        <f>F384</f>
        <v>17.5756</v>
      </c>
      <c r="F384" s="32">
        <f>ROUND(17.5756,4)</f>
        <v>17.5756</v>
      </c>
      <c r="G384" s="28"/>
      <c r="H384" s="42"/>
    </row>
    <row r="385" spans="1:8" ht="12.75" customHeight="1">
      <c r="A385" s="26">
        <v>43994</v>
      </c>
      <c r="B385" s="27"/>
      <c r="C385" s="32">
        <f>ROUND(16.3285,4)</f>
        <v>16.3285</v>
      </c>
      <c r="D385" s="32">
        <f>F385</f>
        <v>17.4488</v>
      </c>
      <c r="E385" s="32">
        <f>F385</f>
        <v>17.4488</v>
      </c>
      <c r="F385" s="32">
        <f>ROUND(17.4488,4)</f>
        <v>17.4488</v>
      </c>
      <c r="G385" s="28"/>
      <c r="H385" s="42"/>
    </row>
    <row r="386" spans="1:8" ht="12.75" customHeight="1">
      <c r="A386" s="26">
        <v>44088</v>
      </c>
      <c r="B386" s="27"/>
      <c r="C386" s="32">
        <f>ROUND(16.3285,4)</f>
        <v>16.3285</v>
      </c>
      <c r="D386" s="32">
        <f>F386</f>
        <v>17.8689</v>
      </c>
      <c r="E386" s="32">
        <f>F386</f>
        <v>17.8689</v>
      </c>
      <c r="F386" s="32">
        <f>ROUND(17.8689,4)</f>
        <v>17.8689</v>
      </c>
      <c r="G386" s="28"/>
      <c r="H386" s="42"/>
    </row>
    <row r="387" spans="1:8" ht="12.75" customHeight="1">
      <c r="A387" s="26">
        <v>44179</v>
      </c>
      <c r="B387" s="27"/>
      <c r="C387" s="32">
        <f>ROUND(16.3285,4)</f>
        <v>16.3285</v>
      </c>
      <c r="D387" s="32">
        <f>F387</f>
        <v>18.2805</v>
      </c>
      <c r="E387" s="32">
        <f>F387</f>
        <v>18.2805</v>
      </c>
      <c r="F387" s="32">
        <f>ROUND(18.2805,4)</f>
        <v>18.2805</v>
      </c>
      <c r="G387" s="28"/>
      <c r="H387" s="42"/>
    </row>
    <row r="388" spans="1:8" ht="12.75" customHeight="1">
      <c r="A388" s="26" t="s">
        <v>72</v>
      </c>
      <c r="B388" s="27"/>
      <c r="C388" s="29"/>
      <c r="D388" s="29"/>
      <c r="E388" s="29"/>
      <c r="F388" s="29"/>
      <c r="G388" s="28"/>
      <c r="H388" s="42"/>
    </row>
    <row r="389" spans="1:8" ht="12.75" customHeight="1">
      <c r="A389" s="26">
        <v>43630</v>
      </c>
      <c r="B389" s="27"/>
      <c r="C389" s="32">
        <f>ROUND(14.4144,4)</f>
        <v>14.4144</v>
      </c>
      <c r="D389" s="32">
        <f>F389</f>
        <v>14.6787</v>
      </c>
      <c r="E389" s="32">
        <f>F389</f>
        <v>14.6787</v>
      </c>
      <c r="F389" s="32">
        <f>ROUND(14.6787,4)</f>
        <v>14.6787</v>
      </c>
      <c r="G389" s="28"/>
      <c r="H389" s="42"/>
    </row>
    <row r="390" spans="1:8" ht="12.75" customHeight="1">
      <c r="A390" s="26">
        <v>43724</v>
      </c>
      <c r="B390" s="27"/>
      <c r="C390" s="32">
        <f>ROUND(14.4144,4)</f>
        <v>14.4144</v>
      </c>
      <c r="D390" s="32">
        <f>F390</f>
        <v>14.974</v>
      </c>
      <c r="E390" s="32">
        <f>F390</f>
        <v>14.974</v>
      </c>
      <c r="F390" s="32">
        <f>ROUND(14.974,4)</f>
        <v>14.974</v>
      </c>
      <c r="G390" s="28"/>
      <c r="H390" s="42"/>
    </row>
    <row r="391" spans="1:8" ht="12.75" customHeight="1">
      <c r="A391" s="26">
        <v>43812</v>
      </c>
      <c r="B391" s="27"/>
      <c r="C391" s="32">
        <f>ROUND(14.4144,4)</f>
        <v>14.4144</v>
      </c>
      <c r="D391" s="32">
        <f>F391</f>
        <v>15.2598</v>
      </c>
      <c r="E391" s="32">
        <f>F391</f>
        <v>15.2598</v>
      </c>
      <c r="F391" s="32">
        <f>ROUND(15.2598,4)</f>
        <v>15.2598</v>
      </c>
      <c r="G391" s="28"/>
      <c r="H391" s="42"/>
    </row>
    <row r="392" spans="1:8" ht="12.75" customHeight="1">
      <c r="A392" s="26">
        <v>43906</v>
      </c>
      <c r="B392" s="27"/>
      <c r="C392" s="32">
        <f>ROUND(14.4144,4)</f>
        <v>14.4144</v>
      </c>
      <c r="D392" s="32">
        <f>F392</f>
        <v>15.575</v>
      </c>
      <c r="E392" s="32">
        <f>F392</f>
        <v>15.575</v>
      </c>
      <c r="F392" s="32">
        <f>ROUND(15.575,4)</f>
        <v>15.575</v>
      </c>
      <c r="G392" s="28"/>
      <c r="H392" s="42"/>
    </row>
    <row r="393" spans="1:8" ht="12.75" customHeight="1">
      <c r="A393" s="26">
        <v>43994</v>
      </c>
      <c r="B393" s="27"/>
      <c r="C393" s="32">
        <f>ROUND(14.4144,4)</f>
        <v>14.4144</v>
      </c>
      <c r="D393" s="32">
        <f>F393</f>
        <v>15.7997</v>
      </c>
      <c r="E393" s="32">
        <f>F393</f>
        <v>15.7997</v>
      </c>
      <c r="F393" s="32">
        <f>ROUND(15.7997,4)</f>
        <v>15.7997</v>
      </c>
      <c r="G393" s="28"/>
      <c r="H393" s="42"/>
    </row>
    <row r="394" spans="1:8" ht="12.75" customHeight="1">
      <c r="A394" s="26">
        <v>44088</v>
      </c>
      <c r="B394" s="27"/>
      <c r="C394" s="32">
        <f>ROUND(14.4144,4)</f>
        <v>14.4144</v>
      </c>
      <c r="D394" s="32">
        <f>F394</f>
        <v>16.0772</v>
      </c>
      <c r="E394" s="32">
        <f>F394</f>
        <v>16.0772</v>
      </c>
      <c r="F394" s="32">
        <f>ROUND(16.0772,4)</f>
        <v>16.0772</v>
      </c>
      <c r="G394" s="28"/>
      <c r="H394" s="42"/>
    </row>
    <row r="395" spans="1:8" ht="12.75" customHeight="1">
      <c r="A395" s="26">
        <v>44179</v>
      </c>
      <c r="B395" s="27"/>
      <c r="C395" s="32">
        <f>ROUND(14.4144,4)</f>
        <v>14.4144</v>
      </c>
      <c r="D395" s="32">
        <f>F395</f>
        <v>16.3677</v>
      </c>
      <c r="E395" s="32">
        <f>F395</f>
        <v>16.3677</v>
      </c>
      <c r="F395" s="32">
        <f>ROUND(16.3677,4)</f>
        <v>16.3677</v>
      </c>
      <c r="G395" s="28"/>
      <c r="H395" s="42"/>
    </row>
    <row r="396" spans="1:8" ht="12.75" customHeight="1">
      <c r="A396" s="26" t="s">
        <v>73</v>
      </c>
      <c r="B396" s="27"/>
      <c r="C396" s="29"/>
      <c r="D396" s="29"/>
      <c r="E396" s="29"/>
      <c r="F396" s="29"/>
      <c r="G396" s="28"/>
      <c r="H396" s="42"/>
    </row>
    <row r="397" spans="1:8" ht="12.75" customHeight="1">
      <c r="A397" s="26">
        <v>43630</v>
      </c>
      <c r="B397" s="27"/>
      <c r="C397" s="32">
        <f>ROUND(18.9602,4)</f>
        <v>18.9602</v>
      </c>
      <c r="D397" s="32">
        <f>F397</f>
        <v>19.2341</v>
      </c>
      <c r="E397" s="32">
        <f>F397</f>
        <v>19.2341</v>
      </c>
      <c r="F397" s="32">
        <f>ROUND(19.2341,4)</f>
        <v>19.2341</v>
      </c>
      <c r="G397" s="28"/>
      <c r="H397" s="42"/>
    </row>
    <row r="398" spans="1:8" ht="12.75" customHeight="1">
      <c r="A398" s="26">
        <v>43724</v>
      </c>
      <c r="B398" s="27"/>
      <c r="C398" s="32">
        <f>ROUND(18.9602,4)</f>
        <v>18.9602</v>
      </c>
      <c r="D398" s="32">
        <f>F398</f>
        <v>19.5359</v>
      </c>
      <c r="E398" s="32">
        <f>F398</f>
        <v>19.5359</v>
      </c>
      <c r="F398" s="32">
        <f>ROUND(19.5359,4)</f>
        <v>19.5359</v>
      </c>
      <c r="G398" s="28"/>
      <c r="H398" s="42"/>
    </row>
    <row r="399" spans="1:8" ht="12.75" customHeight="1">
      <c r="A399" s="26">
        <v>43812</v>
      </c>
      <c r="B399" s="27"/>
      <c r="C399" s="32">
        <f>ROUND(18.9602,4)</f>
        <v>18.9602</v>
      </c>
      <c r="D399" s="32">
        <f>F399</f>
        <v>19.8256</v>
      </c>
      <c r="E399" s="32">
        <f>F399</f>
        <v>19.8256</v>
      </c>
      <c r="F399" s="32">
        <f>ROUND(19.8256,4)</f>
        <v>19.8256</v>
      </c>
      <c r="G399" s="28"/>
      <c r="H399" s="42"/>
    </row>
    <row r="400" spans="1:8" ht="12.75" customHeight="1">
      <c r="A400" s="26">
        <v>43906</v>
      </c>
      <c r="B400" s="27"/>
      <c r="C400" s="32">
        <f>ROUND(18.9602,4)</f>
        <v>18.9602</v>
      </c>
      <c r="D400" s="32">
        <f>F400</f>
        <v>20.139</v>
      </c>
      <c r="E400" s="32">
        <f>F400</f>
        <v>20.139</v>
      </c>
      <c r="F400" s="32">
        <f>ROUND(20.139,4)</f>
        <v>20.139</v>
      </c>
      <c r="G400" s="28"/>
      <c r="H400" s="42"/>
    </row>
    <row r="401" spans="1:8" ht="12.75" customHeight="1">
      <c r="A401" s="26">
        <v>43994</v>
      </c>
      <c r="B401" s="27"/>
      <c r="C401" s="32">
        <f>ROUND(18.9602,4)</f>
        <v>18.9602</v>
      </c>
      <c r="D401" s="32">
        <f>F401</f>
        <v>19.442</v>
      </c>
      <c r="E401" s="32">
        <f>F401</f>
        <v>19.442</v>
      </c>
      <c r="F401" s="32">
        <f>ROUND(19.442,4)</f>
        <v>19.442</v>
      </c>
      <c r="G401" s="28"/>
      <c r="H401" s="42"/>
    </row>
    <row r="402" spans="1:8" ht="12.75" customHeight="1">
      <c r="A402" s="26">
        <v>44088</v>
      </c>
      <c r="B402" s="27"/>
      <c r="C402" s="32">
        <f>ROUND(18.9602,4)</f>
        <v>18.9602</v>
      </c>
      <c r="D402" s="32">
        <f>F402</f>
        <v>19.5121</v>
      </c>
      <c r="E402" s="32">
        <f>F402</f>
        <v>19.5121</v>
      </c>
      <c r="F402" s="32">
        <f>ROUND(19.5121,4)</f>
        <v>19.5121</v>
      </c>
      <c r="G402" s="28"/>
      <c r="H402" s="42"/>
    </row>
    <row r="403" spans="1:8" ht="12.75" customHeight="1">
      <c r="A403" s="26">
        <v>44179</v>
      </c>
      <c r="B403" s="27"/>
      <c r="C403" s="32">
        <f>ROUND(18.9602,4)</f>
        <v>18.9602</v>
      </c>
      <c r="D403" s="32">
        <f>F403</f>
        <v>20.0497</v>
      </c>
      <c r="E403" s="32">
        <f>F403</f>
        <v>20.0497</v>
      </c>
      <c r="F403" s="32">
        <f>ROUND(20.0497,4)</f>
        <v>20.0497</v>
      </c>
      <c r="G403" s="28"/>
      <c r="H403" s="42"/>
    </row>
    <row r="404" spans="1:8" ht="12.75" customHeight="1">
      <c r="A404" s="26" t="s">
        <v>74</v>
      </c>
      <c r="B404" s="27"/>
      <c r="C404" s="29"/>
      <c r="D404" s="29"/>
      <c r="E404" s="29"/>
      <c r="F404" s="29"/>
      <c r="G404" s="28"/>
      <c r="H404" s="42"/>
    </row>
    <row r="405" spans="1:8" ht="12.75" customHeight="1">
      <c r="A405" s="26">
        <v>43630</v>
      </c>
      <c r="B405" s="27"/>
      <c r="C405" s="32">
        <f>ROUND(1.8314,4)</f>
        <v>1.8314</v>
      </c>
      <c r="D405" s="32">
        <f>F405</f>
        <v>1.8542</v>
      </c>
      <c r="E405" s="32">
        <f>F405</f>
        <v>1.8542</v>
      </c>
      <c r="F405" s="32">
        <f>ROUND(1.8542,4)</f>
        <v>1.8542</v>
      </c>
      <c r="G405" s="28"/>
      <c r="H405" s="42"/>
    </row>
    <row r="406" spans="1:8" ht="12.75" customHeight="1">
      <c r="A406" s="26">
        <v>43724</v>
      </c>
      <c r="B406" s="27"/>
      <c r="C406" s="32">
        <f>ROUND(1.8314,4)</f>
        <v>1.8314</v>
      </c>
      <c r="D406" s="32">
        <f>F406</f>
        <v>1.8792</v>
      </c>
      <c r="E406" s="32">
        <f>F406</f>
        <v>1.8792</v>
      </c>
      <c r="F406" s="32">
        <f>ROUND(1.8792,4)</f>
        <v>1.8792</v>
      </c>
      <c r="G406" s="28"/>
      <c r="H406" s="42"/>
    </row>
    <row r="407" spans="1:8" ht="12.75" customHeight="1">
      <c r="A407" s="26">
        <v>43812</v>
      </c>
      <c r="B407" s="27"/>
      <c r="C407" s="32">
        <f>ROUND(1.8314,4)</f>
        <v>1.8314</v>
      </c>
      <c r="D407" s="32">
        <f>F407</f>
        <v>1.9025</v>
      </c>
      <c r="E407" s="32">
        <f>F407</f>
        <v>1.9025</v>
      </c>
      <c r="F407" s="32">
        <f>ROUND(1.9025,4)</f>
        <v>1.9025</v>
      </c>
      <c r="G407" s="28"/>
      <c r="H407" s="42"/>
    </row>
    <row r="408" spans="1:8" ht="12.75" customHeight="1">
      <c r="A408" s="26">
        <v>43906</v>
      </c>
      <c r="B408" s="27"/>
      <c r="C408" s="32">
        <f>ROUND(1.8314,4)</f>
        <v>1.8314</v>
      </c>
      <c r="D408" s="32">
        <f>F408</f>
        <v>1.9344</v>
      </c>
      <c r="E408" s="32">
        <f>F408</f>
        <v>1.9344</v>
      </c>
      <c r="F408" s="32">
        <f>ROUND(1.9344,4)</f>
        <v>1.9344</v>
      </c>
      <c r="G408" s="28"/>
      <c r="H408" s="42"/>
    </row>
    <row r="409" spans="1:8" ht="12.75" customHeight="1">
      <c r="A409" s="26">
        <v>43994</v>
      </c>
      <c r="B409" s="27"/>
      <c r="C409" s="32">
        <f>ROUND(1.8314,4)</f>
        <v>1.8314</v>
      </c>
      <c r="D409" s="32">
        <f>F409</f>
        <v>1.9614</v>
      </c>
      <c r="E409" s="32">
        <f>F409</f>
        <v>1.9614</v>
      </c>
      <c r="F409" s="32">
        <f>ROUND(1.9614,4)</f>
        <v>1.9614</v>
      </c>
      <c r="G409" s="28"/>
      <c r="H409" s="42"/>
    </row>
    <row r="410" spans="1:8" ht="12.75" customHeight="1">
      <c r="A410" s="26">
        <v>44088</v>
      </c>
      <c r="B410" s="27"/>
      <c r="C410" s="32">
        <f>ROUND(1.8314,4)</f>
        <v>1.8314</v>
      </c>
      <c r="D410" s="32">
        <f>F410</f>
        <v>1.9902</v>
      </c>
      <c r="E410" s="32">
        <f>F410</f>
        <v>1.9902</v>
      </c>
      <c r="F410" s="32">
        <f>ROUND(1.9902,4)</f>
        <v>1.9902</v>
      </c>
      <c r="G410" s="28"/>
      <c r="H410" s="42"/>
    </row>
    <row r="411" spans="1:8" ht="12.75" customHeight="1">
      <c r="A411" s="26">
        <v>44179</v>
      </c>
      <c r="B411" s="27"/>
      <c r="C411" s="32">
        <f>ROUND(1.8314,4)</f>
        <v>1.8314</v>
      </c>
      <c r="D411" s="32">
        <f>F411</f>
        <v>2.0208</v>
      </c>
      <c r="E411" s="32">
        <f>F411</f>
        <v>2.0208</v>
      </c>
      <c r="F411" s="32">
        <f>ROUND(2.0208,4)</f>
        <v>2.0208</v>
      </c>
      <c r="G411" s="28"/>
      <c r="H411" s="42"/>
    </row>
    <row r="412" spans="1:8" ht="12.75" customHeight="1">
      <c r="A412" s="26" t="s">
        <v>75</v>
      </c>
      <c r="B412" s="27"/>
      <c r="C412" s="29"/>
      <c r="D412" s="29"/>
      <c r="E412" s="29"/>
      <c r="F412" s="29"/>
      <c r="G412" s="28"/>
      <c r="H412" s="42"/>
    </row>
    <row r="413" spans="1:8" ht="12.75" customHeight="1">
      <c r="A413" s="26">
        <v>43630</v>
      </c>
      <c r="B413" s="27"/>
      <c r="C413" s="33">
        <f>ROUND(0.129022,6)</f>
        <v>0.129022</v>
      </c>
      <c r="D413" s="33">
        <f>F413</f>
        <v>0.1312</v>
      </c>
      <c r="E413" s="33">
        <f>F413</f>
        <v>0.1312</v>
      </c>
      <c r="F413" s="33">
        <f>ROUND(0.1312,6)</f>
        <v>0.1312</v>
      </c>
      <c r="G413" s="28"/>
      <c r="H413" s="42"/>
    </row>
    <row r="414" spans="1:8" ht="12.75" customHeight="1">
      <c r="A414" s="26">
        <v>43724</v>
      </c>
      <c r="B414" s="27"/>
      <c r="C414" s="33">
        <f>ROUND(0.129022,6)</f>
        <v>0.129022</v>
      </c>
      <c r="D414" s="33">
        <f>F414</f>
        <v>0.1337</v>
      </c>
      <c r="E414" s="33">
        <f>F414</f>
        <v>0.1337</v>
      </c>
      <c r="F414" s="33">
        <f>ROUND(0.1337,6)</f>
        <v>0.1337</v>
      </c>
      <c r="G414" s="28"/>
      <c r="H414" s="42"/>
    </row>
    <row r="415" spans="1:8" ht="12.75" customHeight="1">
      <c r="A415" s="26">
        <v>43812</v>
      </c>
      <c r="B415" s="27"/>
      <c r="C415" s="33">
        <f>ROUND(0.129022,6)</f>
        <v>0.129022</v>
      </c>
      <c r="D415" s="33">
        <f>F415</f>
        <v>0.136</v>
      </c>
      <c r="E415" s="33">
        <f>F415</f>
        <v>0.136</v>
      </c>
      <c r="F415" s="33">
        <f>ROUND(0.136,6)</f>
        <v>0.136</v>
      </c>
      <c r="G415" s="28"/>
      <c r="H415" s="42"/>
    </row>
    <row r="416" spans="1:8" ht="12.75" customHeight="1">
      <c r="A416" s="26">
        <v>43906</v>
      </c>
      <c r="B416" s="27"/>
      <c r="C416" s="33">
        <f>ROUND(0.129022,6)</f>
        <v>0.129022</v>
      </c>
      <c r="D416" s="33">
        <f>F416</f>
        <v>0.1387</v>
      </c>
      <c r="E416" s="33">
        <f>F416</f>
        <v>0.1387</v>
      </c>
      <c r="F416" s="33">
        <f>ROUND(0.1387,6)</f>
        <v>0.1387</v>
      </c>
      <c r="G416" s="28"/>
      <c r="H416" s="42"/>
    </row>
    <row r="417" spans="1:8" ht="12.75" customHeight="1">
      <c r="A417" s="26">
        <v>43994</v>
      </c>
      <c r="B417" s="27"/>
      <c r="C417" s="33">
        <f>ROUND(0.129022,6)</f>
        <v>0.129022</v>
      </c>
      <c r="D417" s="33">
        <f>F417</f>
        <v>0.143665</v>
      </c>
      <c r="E417" s="33">
        <f>F417</f>
        <v>0.143665</v>
      </c>
      <c r="F417" s="33">
        <f>ROUND(0.143665,6)</f>
        <v>0.143665</v>
      </c>
      <c r="G417" s="28"/>
      <c r="H417" s="42"/>
    </row>
    <row r="418" spans="1:8" ht="12.75" customHeight="1">
      <c r="A418" s="26">
        <v>44088</v>
      </c>
      <c r="B418" s="27"/>
      <c r="C418" s="33">
        <f>ROUND(0.129022,6)</f>
        <v>0.129022</v>
      </c>
      <c r="D418" s="33">
        <f>F418</f>
        <v>0.146068</v>
      </c>
      <c r="E418" s="33">
        <f>F418</f>
        <v>0.146068</v>
      </c>
      <c r="F418" s="33">
        <f>ROUND(0.146068,6)</f>
        <v>0.146068</v>
      </c>
      <c r="G418" s="28"/>
      <c r="H418" s="42"/>
    </row>
    <row r="419" spans="1:8" ht="12.75" customHeight="1">
      <c r="A419" s="26">
        <v>44179</v>
      </c>
      <c r="B419" s="27"/>
      <c r="C419" s="33">
        <f>ROUND(0.129022,6)</f>
        <v>0.129022</v>
      </c>
      <c r="D419" s="33">
        <f>F419</f>
        <v>0.148093</v>
      </c>
      <c r="E419" s="33">
        <f>F419</f>
        <v>0.148093</v>
      </c>
      <c r="F419" s="33">
        <f>ROUND(0.148093,6)</f>
        <v>0.148093</v>
      </c>
      <c r="G419" s="28"/>
      <c r="H419" s="42"/>
    </row>
    <row r="420" spans="1:8" ht="12.75" customHeight="1">
      <c r="A420" s="26" t="s">
        <v>76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43630</v>
      </c>
      <c r="B421" s="27"/>
      <c r="C421" s="32">
        <f>ROUND(0.1423,4)</f>
        <v>0.1423</v>
      </c>
      <c r="D421" s="32">
        <f>F421</f>
        <v>0.1419</v>
      </c>
      <c r="E421" s="32">
        <f>F421</f>
        <v>0.1419</v>
      </c>
      <c r="F421" s="32">
        <f>ROUND(0.1419,4)</f>
        <v>0.1419</v>
      </c>
      <c r="G421" s="28"/>
      <c r="H421" s="42"/>
    </row>
    <row r="422" spans="1:8" ht="12.75" customHeight="1">
      <c r="A422" s="26">
        <v>43724</v>
      </c>
      <c r="B422" s="27"/>
      <c r="C422" s="32">
        <f>ROUND(0.1423,4)</f>
        <v>0.1423</v>
      </c>
      <c r="D422" s="32">
        <f>F422</f>
        <v>0.1407</v>
      </c>
      <c r="E422" s="32">
        <f>F422</f>
        <v>0.1407</v>
      </c>
      <c r="F422" s="32">
        <f>ROUND(0.1407,4)</f>
        <v>0.1407</v>
      </c>
      <c r="G422" s="28"/>
      <c r="H422" s="42"/>
    </row>
    <row r="423" spans="1:8" ht="12.75" customHeight="1">
      <c r="A423" s="26">
        <v>43812</v>
      </c>
      <c r="B423" s="27"/>
      <c r="C423" s="32">
        <f>ROUND(0.1423,4)</f>
        <v>0.1423</v>
      </c>
      <c r="D423" s="32">
        <f>F423</f>
        <v>0.1413</v>
      </c>
      <c r="E423" s="32">
        <f>F423</f>
        <v>0.1413</v>
      </c>
      <c r="F423" s="32">
        <f>ROUND(0.1413,4)</f>
        <v>0.1413</v>
      </c>
      <c r="G423" s="28"/>
      <c r="H423" s="42"/>
    </row>
    <row r="424" spans="1:8" ht="12.75" customHeight="1">
      <c r="A424" s="26">
        <v>43906</v>
      </c>
      <c r="B424" s="27"/>
      <c r="C424" s="32">
        <f>ROUND(0.1423,4)</f>
        <v>0.1423</v>
      </c>
      <c r="D424" s="32">
        <f>F424</f>
        <v>0.1351</v>
      </c>
      <c r="E424" s="32">
        <f>F424</f>
        <v>0.1351</v>
      </c>
      <c r="F424" s="32">
        <f>ROUND(0.1351,4)</f>
        <v>0.1351</v>
      </c>
      <c r="G424" s="28"/>
      <c r="H424" s="42"/>
    </row>
    <row r="425" spans="1:8" ht="12.75" customHeight="1">
      <c r="A425" s="26">
        <v>43994</v>
      </c>
      <c r="B425" s="27"/>
      <c r="C425" s="32">
        <f>ROUND(0.1423,4)</f>
        <v>0.1423</v>
      </c>
      <c r="D425" s="32">
        <f>F425</f>
        <v>0.1286</v>
      </c>
      <c r="E425" s="32">
        <f>F425</f>
        <v>0.1286</v>
      </c>
      <c r="F425" s="32">
        <f>ROUND(0.1286,4)</f>
        <v>0.1286</v>
      </c>
      <c r="G425" s="28"/>
      <c r="H425" s="42"/>
    </row>
    <row r="426" spans="1:8" ht="12.75" customHeight="1">
      <c r="A426" s="26" t="s">
        <v>77</v>
      </c>
      <c r="B426" s="27"/>
      <c r="C426" s="29"/>
      <c r="D426" s="29"/>
      <c r="E426" s="29"/>
      <c r="F426" s="29"/>
      <c r="G426" s="28"/>
      <c r="H426" s="42"/>
    </row>
    <row r="427" spans="1:8" ht="12.75" customHeight="1">
      <c r="A427" s="26">
        <v>43630</v>
      </c>
      <c r="B427" s="27"/>
      <c r="C427" s="32">
        <f>ROUND(1.6841,4)</f>
        <v>1.6841</v>
      </c>
      <c r="D427" s="32">
        <f>F427</f>
        <v>1.7069</v>
      </c>
      <c r="E427" s="32">
        <f>F427</f>
        <v>1.7069</v>
      </c>
      <c r="F427" s="32">
        <f>ROUND(1.7069,4)</f>
        <v>1.7069</v>
      </c>
      <c r="G427" s="28"/>
      <c r="H427" s="42"/>
    </row>
    <row r="428" spans="1:8" ht="12.75" customHeight="1">
      <c r="A428" s="26">
        <v>43724</v>
      </c>
      <c r="B428" s="27"/>
      <c r="C428" s="32">
        <f>ROUND(1.6841,4)</f>
        <v>1.6841</v>
      </c>
      <c r="D428" s="32">
        <f>F428</f>
        <v>1.7319</v>
      </c>
      <c r="E428" s="32">
        <f>F428</f>
        <v>1.7319</v>
      </c>
      <c r="F428" s="32">
        <f>ROUND(1.7319,4)</f>
        <v>1.7319</v>
      </c>
      <c r="G428" s="28"/>
      <c r="H428" s="42"/>
    </row>
    <row r="429" spans="1:8" ht="12.75" customHeight="1">
      <c r="A429" s="26">
        <v>43812</v>
      </c>
      <c r="B429" s="27"/>
      <c r="C429" s="32">
        <f>ROUND(1.6841,4)</f>
        <v>1.6841</v>
      </c>
      <c r="D429" s="32">
        <f>F429</f>
        <v>1.7558</v>
      </c>
      <c r="E429" s="32">
        <f>F429</f>
        <v>1.7558</v>
      </c>
      <c r="F429" s="32">
        <f>ROUND(1.7558,4)</f>
        <v>1.7558</v>
      </c>
      <c r="G429" s="28"/>
      <c r="H429" s="42"/>
    </row>
    <row r="430" spans="1:8" ht="12.75" customHeight="1">
      <c r="A430" s="26">
        <v>43906</v>
      </c>
      <c r="B430" s="27"/>
      <c r="C430" s="32">
        <f>ROUND(1.6841,4)</f>
        <v>1.6841</v>
      </c>
      <c r="D430" s="32">
        <f>F430</f>
        <v>1.7274</v>
      </c>
      <c r="E430" s="32">
        <f>F430</f>
        <v>1.7274</v>
      </c>
      <c r="F430" s="32">
        <f>ROUND(1.7274,4)</f>
        <v>1.7274</v>
      </c>
      <c r="G430" s="28"/>
      <c r="H430" s="42"/>
    </row>
    <row r="431" spans="1:8" ht="12.75" customHeight="1">
      <c r="A431" s="26">
        <v>43994</v>
      </c>
      <c r="B431" s="27"/>
      <c r="C431" s="32">
        <f>ROUND(1.6841,4)</f>
        <v>1.6841</v>
      </c>
      <c r="D431" s="32">
        <f>F431</f>
        <v>1.753</v>
      </c>
      <c r="E431" s="32">
        <f>F431</f>
        <v>1.753</v>
      </c>
      <c r="F431" s="32">
        <f>ROUND(1.753,4)</f>
        <v>1.753</v>
      </c>
      <c r="G431" s="28"/>
      <c r="H431" s="42"/>
    </row>
    <row r="432" spans="1:8" ht="12.75" customHeight="1">
      <c r="A432" s="26">
        <v>44088</v>
      </c>
      <c r="B432" s="27"/>
      <c r="C432" s="32">
        <f>ROUND(1.6841,4)</f>
        <v>1.6841</v>
      </c>
      <c r="D432" s="32">
        <f>F432</f>
        <v>1.7829</v>
      </c>
      <c r="E432" s="32">
        <f>F432</f>
        <v>1.7829</v>
      </c>
      <c r="F432" s="32">
        <f>ROUND(1.7829,4)</f>
        <v>1.7829</v>
      </c>
      <c r="G432" s="28"/>
      <c r="H432" s="42"/>
    </row>
    <row r="433" spans="1:8" ht="12.75" customHeight="1">
      <c r="A433" s="26">
        <v>44179</v>
      </c>
      <c r="B433" s="27"/>
      <c r="C433" s="32">
        <f>ROUND(1.6841,4)</f>
        <v>1.6841</v>
      </c>
      <c r="D433" s="32">
        <f>F433</f>
        <v>1.8121</v>
      </c>
      <c r="E433" s="32">
        <f>F433</f>
        <v>1.8121</v>
      </c>
      <c r="F433" s="32">
        <f>ROUND(1.8121,4)</f>
        <v>1.8121</v>
      </c>
      <c r="G433" s="28"/>
      <c r="H433" s="42"/>
    </row>
    <row r="434" spans="1:8" ht="12.75" customHeight="1">
      <c r="A434" s="26" t="s">
        <v>78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43630</v>
      </c>
      <c r="B435" s="27"/>
      <c r="C435" s="32">
        <f>ROUND(9.8418,4)</f>
        <v>9.8418</v>
      </c>
      <c r="D435" s="32">
        <f>F435</f>
        <v>9.9568</v>
      </c>
      <c r="E435" s="32">
        <f>F435</f>
        <v>9.9568</v>
      </c>
      <c r="F435" s="32">
        <f>ROUND(9.9568,4)</f>
        <v>9.9568</v>
      </c>
      <c r="G435" s="28"/>
      <c r="H435" s="42"/>
    </row>
    <row r="436" spans="1:8" ht="12.75" customHeight="1">
      <c r="A436" s="26">
        <v>43724</v>
      </c>
      <c r="B436" s="27"/>
      <c r="C436" s="32">
        <f>ROUND(9.8418,4)</f>
        <v>9.8418</v>
      </c>
      <c r="D436" s="32">
        <f>F436</f>
        <v>10.0859</v>
      </c>
      <c r="E436" s="32">
        <f>F436</f>
        <v>10.0859</v>
      </c>
      <c r="F436" s="32">
        <f>ROUND(10.0859,4)</f>
        <v>10.0859</v>
      </c>
      <c r="G436" s="28"/>
      <c r="H436" s="42"/>
    </row>
    <row r="437" spans="1:8" ht="12.75" customHeight="1">
      <c r="A437" s="26">
        <v>43812</v>
      </c>
      <c r="B437" s="27"/>
      <c r="C437" s="32">
        <f>ROUND(9.8418,4)</f>
        <v>9.8418</v>
      </c>
      <c r="D437" s="32">
        <f>F437</f>
        <v>10.2104</v>
      </c>
      <c r="E437" s="32">
        <f>F437</f>
        <v>10.2104</v>
      </c>
      <c r="F437" s="32">
        <f>ROUND(10.2104,4)</f>
        <v>10.2104</v>
      </c>
      <c r="G437" s="28"/>
      <c r="H437" s="42"/>
    </row>
    <row r="438" spans="1:8" ht="12.75" customHeight="1">
      <c r="A438" s="26">
        <v>43906</v>
      </c>
      <c r="B438" s="27"/>
      <c r="C438" s="32">
        <f>ROUND(9.8418,4)</f>
        <v>9.8418</v>
      </c>
      <c r="D438" s="32">
        <f>F438</f>
        <v>10.3432</v>
      </c>
      <c r="E438" s="32">
        <f>F438</f>
        <v>10.3432</v>
      </c>
      <c r="F438" s="32">
        <f>ROUND(10.3432,4)</f>
        <v>10.3432</v>
      </c>
      <c r="G438" s="28"/>
      <c r="H438" s="42"/>
    </row>
    <row r="439" spans="1:8" ht="12.75" customHeight="1">
      <c r="A439" s="26">
        <v>43994</v>
      </c>
      <c r="B439" s="27"/>
      <c r="C439" s="32">
        <f>ROUND(9.8418,4)</f>
        <v>9.8418</v>
      </c>
      <c r="D439" s="32">
        <f>F439</f>
        <v>10.4153</v>
      </c>
      <c r="E439" s="32">
        <f>F439</f>
        <v>10.4153</v>
      </c>
      <c r="F439" s="32">
        <f>ROUND(10.4153,4)</f>
        <v>10.4153</v>
      </c>
      <c r="G439" s="28"/>
      <c r="H439" s="42"/>
    </row>
    <row r="440" spans="1:8" ht="12.75" customHeight="1">
      <c r="A440" s="26">
        <v>44088</v>
      </c>
      <c r="B440" s="27"/>
      <c r="C440" s="32">
        <f>ROUND(9.8418,4)</f>
        <v>9.8418</v>
      </c>
      <c r="D440" s="32">
        <f>F440</f>
        <v>10.5747</v>
      </c>
      <c r="E440" s="32">
        <f>F440</f>
        <v>10.5747</v>
      </c>
      <c r="F440" s="32">
        <f>ROUND(10.5747,4)</f>
        <v>10.5747</v>
      </c>
      <c r="G440" s="28"/>
      <c r="H440" s="42"/>
    </row>
    <row r="441" spans="1:8" ht="12.75" customHeight="1">
      <c r="A441" s="26">
        <v>44179</v>
      </c>
      <c r="B441" s="27"/>
      <c r="C441" s="32">
        <f>ROUND(9.8418,4)</f>
        <v>9.8418</v>
      </c>
      <c r="D441" s="32">
        <f>F441</f>
        <v>10.7438</v>
      </c>
      <c r="E441" s="32">
        <f>F441</f>
        <v>10.7438</v>
      </c>
      <c r="F441" s="32">
        <f>ROUND(10.7438,4)</f>
        <v>10.7438</v>
      </c>
      <c r="G441" s="28"/>
      <c r="H441" s="42"/>
    </row>
    <row r="442" spans="1:8" ht="12.75" customHeight="1">
      <c r="A442" s="26" t="s">
        <v>79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43630</v>
      </c>
      <c r="B443" s="27"/>
      <c r="C443" s="32">
        <f>ROUND(10.6447,4)</f>
        <v>10.6447</v>
      </c>
      <c r="D443" s="32">
        <f>F443</f>
        <v>10.7708</v>
      </c>
      <c r="E443" s="32">
        <f>F443</f>
        <v>10.7708</v>
      </c>
      <c r="F443" s="32">
        <f>ROUND(10.7708,4)</f>
        <v>10.7708</v>
      </c>
      <c r="G443" s="28"/>
      <c r="H443" s="42"/>
    </row>
    <row r="444" spans="1:8" ht="12.75" customHeight="1">
      <c r="A444" s="26">
        <v>43724</v>
      </c>
      <c r="B444" s="27"/>
      <c r="C444" s="32">
        <f>ROUND(10.6447,4)</f>
        <v>10.6447</v>
      </c>
      <c r="D444" s="32">
        <f>F444</f>
        <v>10.9123</v>
      </c>
      <c r="E444" s="32">
        <f>F444</f>
        <v>10.9123</v>
      </c>
      <c r="F444" s="32">
        <f>ROUND(10.9123,4)</f>
        <v>10.9123</v>
      </c>
      <c r="G444" s="28"/>
      <c r="H444" s="42"/>
    </row>
    <row r="445" spans="1:8" ht="12.75" customHeight="1">
      <c r="A445" s="26">
        <v>43812</v>
      </c>
      <c r="B445" s="27"/>
      <c r="C445" s="32">
        <f>ROUND(10.6447,4)</f>
        <v>10.6447</v>
      </c>
      <c r="D445" s="32">
        <f>F445</f>
        <v>11.0506</v>
      </c>
      <c r="E445" s="32">
        <f>F445</f>
        <v>11.0506</v>
      </c>
      <c r="F445" s="32">
        <f>ROUND(11.0506,4)</f>
        <v>11.0506</v>
      </c>
      <c r="G445" s="28"/>
      <c r="H445" s="42"/>
    </row>
    <row r="446" spans="1:8" ht="12.75" customHeight="1">
      <c r="A446" s="26">
        <v>43906</v>
      </c>
      <c r="B446" s="27"/>
      <c r="C446" s="32">
        <f>ROUND(10.6447,4)</f>
        <v>10.6447</v>
      </c>
      <c r="D446" s="32">
        <f>F446</f>
        <v>11.2259</v>
      </c>
      <c r="E446" s="32">
        <f>F446</f>
        <v>11.2259</v>
      </c>
      <c r="F446" s="32">
        <f>ROUND(11.2259,4)</f>
        <v>11.2259</v>
      </c>
      <c r="G446" s="28"/>
      <c r="H446" s="42"/>
    </row>
    <row r="447" spans="1:8" ht="12.75" customHeight="1">
      <c r="A447" s="26">
        <v>43994</v>
      </c>
      <c r="B447" s="27"/>
      <c r="C447" s="32">
        <f>ROUND(10.6447,4)</f>
        <v>10.6447</v>
      </c>
      <c r="D447" s="32">
        <f>F447</f>
        <v>11.4069</v>
      </c>
      <c r="E447" s="32">
        <f>F447</f>
        <v>11.4069</v>
      </c>
      <c r="F447" s="32">
        <f>ROUND(11.4069,4)</f>
        <v>11.4069</v>
      </c>
      <c r="G447" s="28"/>
      <c r="H447" s="42"/>
    </row>
    <row r="448" spans="1:8" ht="12.75" customHeight="1">
      <c r="A448" s="26">
        <v>44088</v>
      </c>
      <c r="B448" s="27"/>
      <c r="C448" s="32">
        <f>ROUND(10.6447,4)</f>
        <v>10.6447</v>
      </c>
      <c r="D448" s="32">
        <f>F448</f>
        <v>11.5813</v>
      </c>
      <c r="E448" s="32">
        <f>F448</f>
        <v>11.5813</v>
      </c>
      <c r="F448" s="32">
        <f>ROUND(11.5813,4)</f>
        <v>11.5813</v>
      </c>
      <c r="G448" s="28"/>
      <c r="H448" s="42"/>
    </row>
    <row r="449" spans="1:8" ht="12.75" customHeight="1">
      <c r="A449" s="26">
        <v>44179</v>
      </c>
      <c r="B449" s="27"/>
      <c r="C449" s="32">
        <f>ROUND(10.6447,4)</f>
        <v>10.6447</v>
      </c>
      <c r="D449" s="32">
        <f>F449</f>
        <v>11.7636</v>
      </c>
      <c r="E449" s="32">
        <f>F449</f>
        <v>11.7636</v>
      </c>
      <c r="F449" s="32">
        <f>ROUND(11.7636,4)</f>
        <v>11.7636</v>
      </c>
      <c r="G449" s="28"/>
      <c r="H449" s="42"/>
    </row>
    <row r="450" spans="1:8" ht="12.75" customHeight="1">
      <c r="A450" s="26" t="s">
        <v>80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43630</v>
      </c>
      <c r="B451" s="27"/>
      <c r="C451" s="32">
        <f>ROUND(2.625,4)</f>
        <v>2.625</v>
      </c>
      <c r="D451" s="32">
        <f>F451</f>
        <v>2.5273</v>
      </c>
      <c r="E451" s="32">
        <f>F451</f>
        <v>2.5273</v>
      </c>
      <c r="F451" s="32">
        <f>ROUND(2.5273,4)</f>
        <v>2.5273</v>
      </c>
      <c r="G451" s="28"/>
      <c r="H451" s="42"/>
    </row>
    <row r="452" spans="1:8" ht="12.75" customHeight="1">
      <c r="A452" s="26">
        <v>43724</v>
      </c>
      <c r="B452" s="27"/>
      <c r="C452" s="32">
        <f>ROUND(2.625,4)</f>
        <v>2.625</v>
      </c>
      <c r="D452" s="32">
        <f>F452</f>
        <v>2.4364</v>
      </c>
      <c r="E452" s="32">
        <f>F452</f>
        <v>2.4364</v>
      </c>
      <c r="F452" s="32">
        <f>ROUND(2.4364,4)</f>
        <v>2.4364</v>
      </c>
      <c r="G452" s="28"/>
      <c r="H452" s="42"/>
    </row>
    <row r="453" spans="1:8" ht="12.75" customHeight="1">
      <c r="A453" s="26">
        <v>43812</v>
      </c>
      <c r="B453" s="27"/>
      <c r="C453" s="32">
        <f>ROUND(2.625,4)</f>
        <v>2.625</v>
      </c>
      <c r="D453" s="32">
        <f>F453</f>
        <v>2.3656</v>
      </c>
      <c r="E453" s="32">
        <f>F453</f>
        <v>2.3656</v>
      </c>
      <c r="F453" s="32">
        <f>ROUND(2.3656,4)</f>
        <v>2.3656</v>
      </c>
      <c r="G453" s="28"/>
      <c r="H453" s="42"/>
    </row>
    <row r="454" spans="1:8" ht="12.75" customHeight="1">
      <c r="A454" s="26">
        <v>43906</v>
      </c>
      <c r="B454" s="27"/>
      <c r="C454" s="32">
        <f>ROUND(2.625,4)</f>
        <v>2.625</v>
      </c>
      <c r="D454" s="32">
        <f>F454</f>
        <v>2.3149</v>
      </c>
      <c r="E454" s="32">
        <f>F454</f>
        <v>2.3149</v>
      </c>
      <c r="F454" s="32">
        <f>ROUND(2.3149,4)</f>
        <v>2.3149</v>
      </c>
      <c r="G454" s="28"/>
      <c r="H454" s="42"/>
    </row>
    <row r="455" spans="1:8" ht="12.75" customHeight="1">
      <c r="A455" s="26">
        <v>43994</v>
      </c>
      <c r="B455" s="27"/>
      <c r="C455" s="32">
        <f>ROUND(2.625,4)</f>
        <v>2.625</v>
      </c>
      <c r="D455" s="32">
        <f>F455</f>
        <v>2.269</v>
      </c>
      <c r="E455" s="32">
        <f>F455</f>
        <v>2.269</v>
      </c>
      <c r="F455" s="32">
        <f>ROUND(2.269,4)</f>
        <v>2.269</v>
      </c>
      <c r="G455" s="28"/>
      <c r="H455" s="42"/>
    </row>
    <row r="456" spans="1:8" ht="12.75" customHeight="1">
      <c r="A456" s="26">
        <v>44088</v>
      </c>
      <c r="B456" s="27"/>
      <c r="C456" s="32">
        <f>ROUND(2.625,4)</f>
        <v>2.625</v>
      </c>
      <c r="D456" s="32">
        <f>F456</f>
        <v>2.223</v>
      </c>
      <c r="E456" s="32">
        <f>F456</f>
        <v>2.223</v>
      </c>
      <c r="F456" s="32">
        <f>ROUND(2.223,4)</f>
        <v>2.223</v>
      </c>
      <c r="G456" s="28"/>
      <c r="H456" s="42"/>
    </row>
    <row r="457" spans="1:8" ht="12.75" customHeight="1">
      <c r="A457" s="26">
        <v>44179</v>
      </c>
      <c r="B457" s="27"/>
      <c r="C457" s="32">
        <f>ROUND(2.625,4)</f>
        <v>2.625</v>
      </c>
      <c r="D457" s="32">
        <f>F457</f>
        <v>2.1842</v>
      </c>
      <c r="E457" s="32">
        <f>F457</f>
        <v>2.1842</v>
      </c>
      <c r="F457" s="32">
        <f>ROUND(2.1842,4)</f>
        <v>2.1842</v>
      </c>
      <c r="G457" s="28"/>
      <c r="H457" s="42"/>
    </row>
    <row r="458" spans="1:8" ht="12.75" customHeight="1">
      <c r="A458" s="26" t="s">
        <v>81</v>
      </c>
      <c r="B458" s="27"/>
      <c r="C458" s="29"/>
      <c r="D458" s="29"/>
      <c r="E458" s="29"/>
      <c r="F458" s="29"/>
      <c r="G458" s="28"/>
      <c r="H458" s="42"/>
    </row>
    <row r="459" spans="1:8" ht="12.75" customHeight="1">
      <c r="A459" s="26">
        <v>43630</v>
      </c>
      <c r="B459" s="27"/>
      <c r="C459" s="32">
        <f>ROUND(14.3764,4)</f>
        <v>14.3764</v>
      </c>
      <c r="D459" s="32">
        <f>F459</f>
        <v>14.5227</v>
      </c>
      <c r="E459" s="32">
        <f>F459</f>
        <v>14.5227</v>
      </c>
      <c r="F459" s="32">
        <f>ROUND(14.5227,4)</f>
        <v>14.5227</v>
      </c>
      <c r="G459" s="28"/>
      <c r="H459" s="42"/>
    </row>
    <row r="460" spans="1:8" ht="12.75" customHeight="1">
      <c r="A460" s="26">
        <v>43724</v>
      </c>
      <c r="B460" s="27"/>
      <c r="C460" s="32">
        <f>ROUND(14.3764,4)</f>
        <v>14.3764</v>
      </c>
      <c r="D460" s="32">
        <f>F460</f>
        <v>14.6853</v>
      </c>
      <c r="E460" s="32">
        <f>F460</f>
        <v>14.6853</v>
      </c>
      <c r="F460" s="32">
        <f>ROUND(14.6853,4)</f>
        <v>14.6853</v>
      </c>
      <c r="G460" s="28"/>
      <c r="H460" s="42"/>
    </row>
    <row r="461" spans="1:8" ht="12.75" customHeight="1">
      <c r="A461" s="26">
        <v>43812</v>
      </c>
      <c r="B461" s="27"/>
      <c r="C461" s="32">
        <f>ROUND(14.3764,4)</f>
        <v>14.3764</v>
      </c>
      <c r="D461" s="32">
        <f>F461</f>
        <v>14.8439</v>
      </c>
      <c r="E461" s="32">
        <f>F461</f>
        <v>14.8439</v>
      </c>
      <c r="F461" s="32">
        <f>ROUND(14.8439,4)</f>
        <v>14.8439</v>
      </c>
      <c r="G461" s="28"/>
      <c r="H461" s="42"/>
    </row>
    <row r="462" spans="1:8" ht="12.75" customHeight="1">
      <c r="A462" s="26">
        <v>43906</v>
      </c>
      <c r="B462" s="27"/>
      <c r="C462" s="32">
        <f>ROUND(14.3764,4)</f>
        <v>14.3764</v>
      </c>
      <c r="D462" s="32">
        <f>F462</f>
        <v>15.0141</v>
      </c>
      <c r="E462" s="32">
        <f>F462</f>
        <v>15.0141</v>
      </c>
      <c r="F462" s="32">
        <f>ROUND(15.0141,4)</f>
        <v>15.0141</v>
      </c>
      <c r="G462" s="28"/>
      <c r="H462" s="42"/>
    </row>
    <row r="463" spans="1:8" ht="12.75" customHeight="1">
      <c r="A463" s="26">
        <v>43994</v>
      </c>
      <c r="B463" s="27"/>
      <c r="C463" s="32">
        <f>ROUND(14.3764,4)</f>
        <v>14.3764</v>
      </c>
      <c r="D463" s="32">
        <f>F463</f>
        <v>14.7096</v>
      </c>
      <c r="E463" s="32">
        <f>F463</f>
        <v>14.7096</v>
      </c>
      <c r="F463" s="32">
        <f>ROUND(14.7096,4)</f>
        <v>14.7096</v>
      </c>
      <c r="G463" s="28"/>
      <c r="H463" s="42"/>
    </row>
    <row r="464" spans="1:8" ht="12.75" customHeight="1">
      <c r="A464" s="26">
        <v>44088</v>
      </c>
      <c r="B464" s="27"/>
      <c r="C464" s="32">
        <f>ROUND(14.3764,4)</f>
        <v>14.3764</v>
      </c>
      <c r="D464" s="32">
        <f>F464</f>
        <v>14.8908</v>
      </c>
      <c r="E464" s="32">
        <f>F464</f>
        <v>14.8908</v>
      </c>
      <c r="F464" s="32">
        <f>ROUND(14.8908,4)</f>
        <v>14.8908</v>
      </c>
      <c r="G464" s="28"/>
      <c r="H464" s="42"/>
    </row>
    <row r="465" spans="1:8" ht="12.75" customHeight="1">
      <c r="A465" s="26">
        <v>44179</v>
      </c>
      <c r="B465" s="27"/>
      <c r="C465" s="32">
        <f>ROUND(14.3764,4)</f>
        <v>14.3764</v>
      </c>
      <c r="D465" s="32">
        <f>F465</f>
        <v>15.0663</v>
      </c>
      <c r="E465" s="32">
        <f>F465</f>
        <v>15.0663</v>
      </c>
      <c r="F465" s="32">
        <f>ROUND(15.0663,4)</f>
        <v>15.0663</v>
      </c>
      <c r="G465" s="28"/>
      <c r="H465" s="42"/>
    </row>
    <row r="466" spans="1:8" ht="12.75" customHeight="1">
      <c r="A466" s="26" t="s">
        <v>82</v>
      </c>
      <c r="B466" s="27"/>
      <c r="C466" s="29"/>
      <c r="D466" s="29"/>
      <c r="E466" s="29"/>
      <c r="F466" s="29"/>
      <c r="G466" s="28"/>
      <c r="H466" s="42"/>
    </row>
    <row r="467" spans="1:8" ht="12.75" customHeight="1">
      <c r="A467" s="26">
        <v>43630</v>
      </c>
      <c r="B467" s="27"/>
      <c r="C467" s="32">
        <f>ROUND(14.3764,4)</f>
        <v>14.3764</v>
      </c>
      <c r="D467" s="32">
        <f>F467</f>
        <v>14.5227</v>
      </c>
      <c r="E467" s="32">
        <f>F467</f>
        <v>14.5227</v>
      </c>
      <c r="F467" s="32">
        <f>ROUND(14.5227,4)</f>
        <v>14.5227</v>
      </c>
      <c r="G467" s="28"/>
      <c r="H467" s="42"/>
    </row>
    <row r="468" spans="1:8" ht="12.75" customHeight="1">
      <c r="A468" s="26">
        <v>43724</v>
      </c>
      <c r="B468" s="27"/>
      <c r="C468" s="32">
        <f>ROUND(14.3764,4)</f>
        <v>14.3764</v>
      </c>
      <c r="D468" s="32">
        <f>F468</f>
        <v>14.6853</v>
      </c>
      <c r="E468" s="32">
        <f>F468</f>
        <v>14.6853</v>
      </c>
      <c r="F468" s="32">
        <f>ROUND(14.6853,4)</f>
        <v>14.6853</v>
      </c>
      <c r="G468" s="28"/>
      <c r="H468" s="42"/>
    </row>
    <row r="469" spans="1:8" ht="12.75" customHeight="1">
      <c r="A469" s="26">
        <v>43812</v>
      </c>
      <c r="B469" s="27"/>
      <c r="C469" s="32">
        <f>ROUND(14.3764,4)</f>
        <v>14.3764</v>
      </c>
      <c r="D469" s="32">
        <f>F469</f>
        <v>14.8439</v>
      </c>
      <c r="E469" s="32">
        <f>F469</f>
        <v>14.8439</v>
      </c>
      <c r="F469" s="32">
        <f>ROUND(14.8439,4)</f>
        <v>14.8439</v>
      </c>
      <c r="G469" s="28"/>
      <c r="H469" s="42"/>
    </row>
    <row r="470" spans="1:8" ht="12.75" customHeight="1">
      <c r="A470" s="26">
        <v>43906</v>
      </c>
      <c r="B470" s="27"/>
      <c r="C470" s="32">
        <f>ROUND(14.3764,4)</f>
        <v>14.3764</v>
      </c>
      <c r="D470" s="32">
        <f>F470</f>
        <v>15.0141</v>
      </c>
      <c r="E470" s="32">
        <f>F470</f>
        <v>15.0141</v>
      </c>
      <c r="F470" s="32">
        <f>ROUND(15.0141,4)</f>
        <v>15.0141</v>
      </c>
      <c r="G470" s="28"/>
      <c r="H470" s="42"/>
    </row>
    <row r="471" spans="1:8" ht="12.75" customHeight="1">
      <c r="A471" s="26">
        <v>43994</v>
      </c>
      <c r="B471" s="27"/>
      <c r="C471" s="32">
        <f>ROUND(14.3764,4)</f>
        <v>14.3764</v>
      </c>
      <c r="D471" s="32">
        <f>F471</f>
        <v>15.1789</v>
      </c>
      <c r="E471" s="32">
        <f>F471</f>
        <v>15.1789</v>
      </c>
      <c r="F471" s="32">
        <f>ROUND(15.1789,4)</f>
        <v>15.1789</v>
      </c>
      <c r="G471" s="28"/>
      <c r="H471" s="42"/>
    </row>
    <row r="472" spans="1:8" ht="12.75" customHeight="1">
      <c r="A472" s="26">
        <v>44088</v>
      </c>
      <c r="B472" s="27"/>
      <c r="C472" s="32">
        <f>ROUND(14.3764,4)</f>
        <v>14.3764</v>
      </c>
      <c r="D472" s="32">
        <f>F472</f>
        <v>15.3643</v>
      </c>
      <c r="E472" s="32">
        <f>F472</f>
        <v>15.3643</v>
      </c>
      <c r="F472" s="32">
        <f>ROUND(15.3643,4)</f>
        <v>15.3643</v>
      </c>
      <c r="G472" s="28"/>
      <c r="H472" s="42"/>
    </row>
    <row r="473" spans="1:8" ht="12.75" customHeight="1">
      <c r="A473" s="26">
        <v>44179</v>
      </c>
      <c r="B473" s="27"/>
      <c r="C473" s="32">
        <f>ROUND(14.3764,4)</f>
        <v>14.3764</v>
      </c>
      <c r="D473" s="32">
        <f>F473</f>
        <v>15.0663</v>
      </c>
      <c r="E473" s="32">
        <f>F473</f>
        <v>15.0663</v>
      </c>
      <c r="F473" s="32">
        <f>ROUND(15.0663,4)</f>
        <v>15.0663</v>
      </c>
      <c r="G473" s="28"/>
      <c r="H473" s="42"/>
    </row>
    <row r="474" spans="1:8" ht="12.75" customHeight="1">
      <c r="A474" s="26">
        <v>44270</v>
      </c>
      <c r="B474" s="27"/>
      <c r="C474" s="32">
        <f>ROUND(14.3764,4)</f>
        <v>14.3764</v>
      </c>
      <c r="D474" s="32">
        <f>F474</f>
        <v>15.2643</v>
      </c>
      <c r="E474" s="32">
        <f>F474</f>
        <v>15.2643</v>
      </c>
      <c r="F474" s="32">
        <f>ROUND(15.2643,4)</f>
        <v>15.2643</v>
      </c>
      <c r="G474" s="28"/>
      <c r="H474" s="42"/>
    </row>
    <row r="475" spans="1:8" ht="12.75" customHeight="1">
      <c r="A475" s="26">
        <v>44358</v>
      </c>
      <c r="B475" s="27"/>
      <c r="C475" s="32">
        <f>ROUND(14.3764,4)</f>
        <v>14.3764</v>
      </c>
      <c r="D475" s="32">
        <f>F475</f>
        <v>15.4744</v>
      </c>
      <c r="E475" s="32">
        <f>F475</f>
        <v>15.4744</v>
      </c>
      <c r="F475" s="32">
        <f>ROUND(15.4744,4)</f>
        <v>15.4744</v>
      </c>
      <c r="G475" s="28"/>
      <c r="H475" s="42"/>
    </row>
    <row r="476" spans="1:8" ht="12.75" customHeight="1">
      <c r="A476" s="26">
        <v>44452</v>
      </c>
      <c r="B476" s="27"/>
      <c r="C476" s="32">
        <f>ROUND(14.3764,4)</f>
        <v>14.3764</v>
      </c>
      <c r="D476" s="32">
        <f>F476</f>
        <v>15.6989</v>
      </c>
      <c r="E476" s="32">
        <f>F476</f>
        <v>15.6989</v>
      </c>
      <c r="F476" s="32">
        <f>ROUND(15.6989,4)</f>
        <v>15.6989</v>
      </c>
      <c r="G476" s="28"/>
      <c r="H476" s="42"/>
    </row>
    <row r="477" spans="1:8" ht="12.75" customHeight="1">
      <c r="A477" s="26">
        <v>44550</v>
      </c>
      <c r="B477" s="27"/>
      <c r="C477" s="32">
        <f>ROUND(14.3764,4)</f>
        <v>14.3764</v>
      </c>
      <c r="D477" s="32">
        <f>F477</f>
        <v>15.933</v>
      </c>
      <c r="E477" s="32">
        <f>F477</f>
        <v>15.933</v>
      </c>
      <c r="F477" s="32">
        <f>ROUND(15.933,4)</f>
        <v>15.933</v>
      </c>
      <c r="G477" s="28"/>
      <c r="H477" s="42"/>
    </row>
    <row r="478" spans="1:8" ht="12.75" customHeight="1">
      <c r="A478" s="26">
        <v>44634</v>
      </c>
      <c r="B478" s="27"/>
      <c r="C478" s="32">
        <f>ROUND(14.3764,4)</f>
        <v>14.3764</v>
      </c>
      <c r="D478" s="32">
        <f>F478</f>
        <v>16.1336</v>
      </c>
      <c r="E478" s="32">
        <f>F478</f>
        <v>16.1336</v>
      </c>
      <c r="F478" s="32">
        <f>ROUND(16.1336,4)</f>
        <v>16.1336</v>
      </c>
      <c r="G478" s="28"/>
      <c r="H478" s="42"/>
    </row>
    <row r="479" spans="1:8" ht="12.75" customHeight="1">
      <c r="A479" s="26" t="s">
        <v>83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43587</v>
      </c>
      <c r="B480" s="27"/>
      <c r="C480" s="31">
        <f>ROUND(705.293,3)</f>
        <v>705.293</v>
      </c>
      <c r="D480" s="31">
        <f>F480</f>
        <v>711.32</v>
      </c>
      <c r="E480" s="31">
        <f>F480</f>
        <v>711.32</v>
      </c>
      <c r="F480" s="31">
        <f>ROUND(711.32,3)</f>
        <v>711.32</v>
      </c>
      <c r="G480" s="28"/>
      <c r="H480" s="42"/>
    </row>
    <row r="481" spans="1:8" ht="12.75" customHeight="1">
      <c r="A481" s="26">
        <v>43678</v>
      </c>
      <c r="B481" s="27"/>
      <c r="C481" s="31">
        <f>ROUND(705.293,3)</f>
        <v>705.293</v>
      </c>
      <c r="D481" s="31">
        <f>F481</f>
        <v>724.611</v>
      </c>
      <c r="E481" s="31">
        <f>F481</f>
        <v>724.611</v>
      </c>
      <c r="F481" s="31">
        <f>ROUND(724.611,3)</f>
        <v>724.611</v>
      </c>
      <c r="G481" s="28"/>
      <c r="H481" s="42"/>
    </row>
    <row r="482" spans="1:8" ht="12.75" customHeight="1">
      <c r="A482" s="26">
        <v>43776</v>
      </c>
      <c r="B482" s="27"/>
      <c r="C482" s="31">
        <f>ROUND(705.293,3)</f>
        <v>705.293</v>
      </c>
      <c r="D482" s="31">
        <f>F482</f>
        <v>739.782</v>
      </c>
      <c r="E482" s="31">
        <f>F482</f>
        <v>739.782</v>
      </c>
      <c r="F482" s="31">
        <f>ROUND(739.782,3)</f>
        <v>739.782</v>
      </c>
      <c r="G482" s="28"/>
      <c r="H482" s="42"/>
    </row>
    <row r="483" spans="1:8" ht="12.75" customHeight="1">
      <c r="A483" s="26">
        <v>43867</v>
      </c>
      <c r="B483" s="27"/>
      <c r="C483" s="31">
        <f>ROUND(705.293,3)</f>
        <v>705.293</v>
      </c>
      <c r="D483" s="31">
        <f>F483</f>
        <v>754.654</v>
      </c>
      <c r="E483" s="31">
        <f>F483</f>
        <v>754.654</v>
      </c>
      <c r="F483" s="31">
        <f>ROUND(754.654,3)</f>
        <v>754.654</v>
      </c>
      <c r="G483" s="28"/>
      <c r="H483" s="42"/>
    </row>
    <row r="484" spans="1:8" ht="12.75" customHeight="1">
      <c r="A484" s="26" t="s">
        <v>84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43587</v>
      </c>
      <c r="B485" s="27"/>
      <c r="C485" s="31">
        <f>ROUND(623.09,3)</f>
        <v>623.09</v>
      </c>
      <c r="D485" s="31">
        <f>F485</f>
        <v>628.415</v>
      </c>
      <c r="E485" s="31">
        <f>F485</f>
        <v>628.415</v>
      </c>
      <c r="F485" s="31">
        <f>ROUND(628.415,3)</f>
        <v>628.415</v>
      </c>
      <c r="G485" s="28"/>
      <c r="H485" s="42"/>
    </row>
    <row r="486" spans="1:8" ht="12.75" customHeight="1">
      <c r="A486" s="26">
        <v>43678</v>
      </c>
      <c r="B486" s="27"/>
      <c r="C486" s="31">
        <f>ROUND(623.09,3)</f>
        <v>623.09</v>
      </c>
      <c r="D486" s="31">
        <f>F486</f>
        <v>640.156</v>
      </c>
      <c r="E486" s="31">
        <f>F486</f>
        <v>640.156</v>
      </c>
      <c r="F486" s="31">
        <f>ROUND(640.156,3)</f>
        <v>640.156</v>
      </c>
      <c r="G486" s="28"/>
      <c r="H486" s="42"/>
    </row>
    <row r="487" spans="1:8" ht="12.75" customHeight="1">
      <c r="A487" s="26">
        <v>43776</v>
      </c>
      <c r="B487" s="27"/>
      <c r="C487" s="31">
        <f>ROUND(623.09,3)</f>
        <v>623.09</v>
      </c>
      <c r="D487" s="31">
        <f>F487</f>
        <v>653.56</v>
      </c>
      <c r="E487" s="31">
        <f>F487</f>
        <v>653.56</v>
      </c>
      <c r="F487" s="31">
        <f>ROUND(653.56,3)</f>
        <v>653.56</v>
      </c>
      <c r="G487" s="28"/>
      <c r="H487" s="42"/>
    </row>
    <row r="488" spans="1:8" ht="12.75" customHeight="1">
      <c r="A488" s="26">
        <v>43867</v>
      </c>
      <c r="B488" s="27"/>
      <c r="C488" s="31">
        <f>ROUND(623.09,3)</f>
        <v>623.09</v>
      </c>
      <c r="D488" s="31">
        <f>F488</f>
        <v>666.698</v>
      </c>
      <c r="E488" s="31">
        <f>F488</f>
        <v>666.698</v>
      </c>
      <c r="F488" s="31">
        <f>ROUND(666.698,3)</f>
        <v>666.698</v>
      </c>
      <c r="G488" s="28"/>
      <c r="H488" s="42"/>
    </row>
    <row r="489" spans="1:8" ht="12.75" customHeight="1">
      <c r="A489" s="26" t="s">
        <v>85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43587</v>
      </c>
      <c r="B490" s="27"/>
      <c r="C490" s="31">
        <f>ROUND(718.522,3)</f>
        <v>718.522</v>
      </c>
      <c r="D490" s="31">
        <f>F490</f>
        <v>724.662</v>
      </c>
      <c r="E490" s="31">
        <f>F490</f>
        <v>724.662</v>
      </c>
      <c r="F490" s="31">
        <f>ROUND(724.662,3)</f>
        <v>724.662</v>
      </c>
      <c r="G490" s="28"/>
      <c r="H490" s="42"/>
    </row>
    <row r="491" spans="1:8" ht="12.75" customHeight="1">
      <c r="A491" s="26">
        <v>43678</v>
      </c>
      <c r="B491" s="27"/>
      <c r="C491" s="31">
        <f>ROUND(718.522,3)</f>
        <v>718.522</v>
      </c>
      <c r="D491" s="31">
        <f>F491</f>
        <v>738.202</v>
      </c>
      <c r="E491" s="31">
        <f>F491</f>
        <v>738.202</v>
      </c>
      <c r="F491" s="31">
        <f>ROUND(738.202,3)</f>
        <v>738.202</v>
      </c>
      <c r="G491" s="28"/>
      <c r="H491" s="42"/>
    </row>
    <row r="492" spans="1:8" ht="12.75" customHeight="1">
      <c r="A492" s="26">
        <v>43776</v>
      </c>
      <c r="B492" s="27"/>
      <c r="C492" s="31">
        <f>ROUND(718.522,3)</f>
        <v>718.522</v>
      </c>
      <c r="D492" s="31">
        <f>F492</f>
        <v>753.658</v>
      </c>
      <c r="E492" s="31">
        <f>F492</f>
        <v>753.658</v>
      </c>
      <c r="F492" s="31">
        <f>ROUND(753.658,3)</f>
        <v>753.658</v>
      </c>
      <c r="G492" s="28"/>
      <c r="H492" s="42"/>
    </row>
    <row r="493" spans="1:8" ht="12.75" customHeight="1">
      <c r="A493" s="26">
        <v>43867</v>
      </c>
      <c r="B493" s="27"/>
      <c r="C493" s="31">
        <f>ROUND(718.522,3)</f>
        <v>718.522</v>
      </c>
      <c r="D493" s="31">
        <f>F493</f>
        <v>768.809</v>
      </c>
      <c r="E493" s="31">
        <f>F493</f>
        <v>768.809</v>
      </c>
      <c r="F493" s="31">
        <f>ROUND(768.809,3)</f>
        <v>768.809</v>
      </c>
      <c r="G493" s="28"/>
      <c r="H493" s="42"/>
    </row>
    <row r="494" spans="1:8" ht="12.75" customHeight="1">
      <c r="A494" s="26" t="s">
        <v>86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43587</v>
      </c>
      <c r="B495" s="27"/>
      <c r="C495" s="31">
        <f>ROUND(649.217,3)</f>
        <v>649.217</v>
      </c>
      <c r="D495" s="31">
        <f>F495</f>
        <v>654.765</v>
      </c>
      <c r="E495" s="31">
        <f>F495</f>
        <v>654.765</v>
      </c>
      <c r="F495" s="31">
        <f>ROUND(654.765,3)</f>
        <v>654.765</v>
      </c>
      <c r="G495" s="28"/>
      <c r="H495" s="42"/>
    </row>
    <row r="496" spans="1:8" ht="12.75" customHeight="1">
      <c r="A496" s="26">
        <v>43678</v>
      </c>
      <c r="B496" s="27"/>
      <c r="C496" s="31">
        <f>ROUND(649.217,3)</f>
        <v>649.217</v>
      </c>
      <c r="D496" s="31">
        <f>F496</f>
        <v>666.999</v>
      </c>
      <c r="E496" s="31">
        <f>F496</f>
        <v>666.999</v>
      </c>
      <c r="F496" s="31">
        <f>ROUND(666.999,3)</f>
        <v>666.999</v>
      </c>
      <c r="G496" s="28"/>
      <c r="H496" s="42"/>
    </row>
    <row r="497" spans="1:8" ht="12.75" customHeight="1">
      <c r="A497" s="26">
        <v>43776</v>
      </c>
      <c r="B497" s="27"/>
      <c r="C497" s="31">
        <f>ROUND(649.217,3)</f>
        <v>649.217</v>
      </c>
      <c r="D497" s="31">
        <f>F497</f>
        <v>680.964</v>
      </c>
      <c r="E497" s="31">
        <f>F497</f>
        <v>680.964</v>
      </c>
      <c r="F497" s="31">
        <f>ROUND(680.964,3)</f>
        <v>680.964</v>
      </c>
      <c r="G497" s="28"/>
      <c r="H497" s="42"/>
    </row>
    <row r="498" spans="1:8" ht="12.75" customHeight="1">
      <c r="A498" s="26">
        <v>43867</v>
      </c>
      <c r="B498" s="27"/>
      <c r="C498" s="31">
        <f>ROUND(649.217,3)</f>
        <v>649.217</v>
      </c>
      <c r="D498" s="31">
        <f>F498</f>
        <v>694.654</v>
      </c>
      <c r="E498" s="31">
        <f>F498</f>
        <v>694.654</v>
      </c>
      <c r="F498" s="31">
        <f>ROUND(694.654,3)</f>
        <v>694.654</v>
      </c>
      <c r="G498" s="28"/>
      <c r="H498" s="42"/>
    </row>
    <row r="499" spans="1:8" ht="12.75" customHeight="1">
      <c r="A499" s="26" t="s">
        <v>87</v>
      </c>
      <c r="B499" s="27"/>
      <c r="C499" s="29"/>
      <c r="D499" s="29"/>
      <c r="E499" s="29"/>
      <c r="F499" s="29"/>
      <c r="G499" s="28"/>
      <c r="H499" s="42"/>
    </row>
    <row r="500" spans="1:8" ht="12.75" customHeight="1">
      <c r="A500" s="26">
        <v>43587</v>
      </c>
      <c r="B500" s="27"/>
      <c r="C500" s="31">
        <f>ROUND(254.217328897105,3)</f>
        <v>254.217</v>
      </c>
      <c r="D500" s="31">
        <f>F500</f>
        <v>256.42</v>
      </c>
      <c r="E500" s="31">
        <f>F500</f>
        <v>256.42</v>
      </c>
      <c r="F500" s="31">
        <f>ROUND(256.42,3)</f>
        <v>256.42</v>
      </c>
      <c r="G500" s="28"/>
      <c r="H500" s="42"/>
    </row>
    <row r="501" spans="1:8" ht="12.75" customHeight="1">
      <c r="A501" s="26">
        <v>43678</v>
      </c>
      <c r="B501" s="27"/>
      <c r="C501" s="31">
        <f>ROUND(254.217328897105,3)</f>
        <v>254.217</v>
      </c>
      <c r="D501" s="31">
        <f>F501</f>
        <v>261.274</v>
      </c>
      <c r="E501" s="31">
        <f>F501</f>
        <v>261.274</v>
      </c>
      <c r="F501" s="31">
        <f>ROUND(261.274,3)</f>
        <v>261.274</v>
      </c>
      <c r="G501" s="28"/>
      <c r="H501" s="42"/>
    </row>
    <row r="502" spans="1:8" ht="12.75" customHeight="1">
      <c r="A502" s="26">
        <v>43776</v>
      </c>
      <c r="B502" s="27"/>
      <c r="C502" s="31">
        <f>ROUND(254.217328897105,3)</f>
        <v>254.217</v>
      </c>
      <c r="D502" s="31">
        <f>F502</f>
        <v>266.81</v>
      </c>
      <c r="E502" s="31">
        <f>F502</f>
        <v>266.81</v>
      </c>
      <c r="F502" s="31">
        <f>ROUND(266.81,3)</f>
        <v>266.81</v>
      </c>
      <c r="G502" s="28"/>
      <c r="H502" s="42"/>
    </row>
    <row r="503" spans="1:8" ht="12.75" customHeight="1">
      <c r="A503" s="26">
        <v>43867</v>
      </c>
      <c r="B503" s="27"/>
      <c r="C503" s="31">
        <f>ROUND(254.217328897105,3)</f>
        <v>254.217</v>
      </c>
      <c r="D503" s="31">
        <f>F503</f>
        <v>272.234</v>
      </c>
      <c r="E503" s="31">
        <f>F503</f>
        <v>272.234</v>
      </c>
      <c r="F503" s="31">
        <f>ROUND(272.234,3)</f>
        <v>272.234</v>
      </c>
      <c r="G503" s="28"/>
      <c r="H503" s="42"/>
    </row>
    <row r="504" spans="1:8" ht="12.75" customHeight="1">
      <c r="A504" s="26" t="s">
        <v>88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43630</v>
      </c>
      <c r="B505" s="27"/>
      <c r="C505" s="28">
        <f>ROUND(23989.582679912,2)</f>
        <v>23989.58</v>
      </c>
      <c r="D505" s="28">
        <f>F505</f>
        <v>24544.28</v>
      </c>
      <c r="E505" s="28">
        <f>F505</f>
        <v>24544.28</v>
      </c>
      <c r="F505" s="28">
        <f>ROUND(24544.28,2)</f>
        <v>24544.28</v>
      </c>
      <c r="G505" s="28"/>
      <c r="H505" s="42"/>
    </row>
    <row r="506" spans="1:8" ht="12.75" customHeight="1">
      <c r="A506" s="26">
        <v>43724</v>
      </c>
      <c r="B506" s="27"/>
      <c r="C506" s="28">
        <f>ROUND(23989.582679912,2)</f>
        <v>23989.58</v>
      </c>
      <c r="D506" s="28">
        <f>F506</f>
        <v>24952.2</v>
      </c>
      <c r="E506" s="28">
        <f>F506</f>
        <v>24952.2</v>
      </c>
      <c r="F506" s="28">
        <f>ROUND(24952.2,2)</f>
        <v>24952.2</v>
      </c>
      <c r="G506" s="28"/>
      <c r="H506" s="42"/>
    </row>
    <row r="507" spans="1:8" ht="12.75" customHeight="1">
      <c r="A507" s="26" t="s">
        <v>89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43544</v>
      </c>
      <c r="B508" s="27"/>
      <c r="C508" s="31">
        <f>ROUND(7.15,3)</f>
        <v>7.15</v>
      </c>
      <c r="D508" s="31">
        <f>ROUND(7.06,3)</f>
        <v>7.06</v>
      </c>
      <c r="E508" s="31">
        <f>ROUND(6.96,3)</f>
        <v>6.96</v>
      </c>
      <c r="F508" s="31">
        <f>ROUND(7.01,3)</f>
        <v>7.01</v>
      </c>
      <c r="G508" s="28"/>
      <c r="H508" s="42"/>
    </row>
    <row r="509" spans="1:8" ht="12.75" customHeight="1">
      <c r="A509" s="26">
        <v>43635</v>
      </c>
      <c r="B509" s="27"/>
      <c r="C509" s="31">
        <f>ROUND(7.15,3)</f>
        <v>7.15</v>
      </c>
      <c r="D509" s="31">
        <f>ROUND(7.08,3)</f>
        <v>7.08</v>
      </c>
      <c r="E509" s="31">
        <f>ROUND(6.98,3)</f>
        <v>6.98</v>
      </c>
      <c r="F509" s="31">
        <f>ROUND(7.03,3)</f>
        <v>7.03</v>
      </c>
      <c r="G509" s="28"/>
      <c r="H509" s="42"/>
    </row>
    <row r="510" spans="1:8" ht="12.75" customHeight="1">
      <c r="A510" s="26">
        <v>43726</v>
      </c>
      <c r="B510" s="27"/>
      <c r="C510" s="31">
        <f>ROUND(7.15,3)</f>
        <v>7.15</v>
      </c>
      <c r="D510" s="31">
        <f>ROUND(7.12,3)</f>
        <v>7.12</v>
      </c>
      <c r="E510" s="31">
        <f>ROUND(7.02,3)</f>
        <v>7.02</v>
      </c>
      <c r="F510" s="31">
        <f>ROUND(7.07,3)</f>
        <v>7.07</v>
      </c>
      <c r="G510" s="28"/>
      <c r="H510" s="42"/>
    </row>
    <row r="511" spans="1:8" ht="12.75" customHeight="1">
      <c r="A511" s="26">
        <v>43817</v>
      </c>
      <c r="B511" s="27"/>
      <c r="C511" s="31">
        <f>ROUND(7.15,3)</f>
        <v>7.15</v>
      </c>
      <c r="D511" s="31">
        <f>ROUND(7.18,3)</f>
        <v>7.18</v>
      </c>
      <c r="E511" s="31">
        <f>ROUND(7.08,3)</f>
        <v>7.08</v>
      </c>
      <c r="F511" s="31">
        <f>ROUND(7.13,3)</f>
        <v>7.13</v>
      </c>
      <c r="G511" s="28"/>
      <c r="H511" s="42"/>
    </row>
    <row r="512" spans="1:8" ht="12.75" customHeight="1">
      <c r="A512" s="26" t="s">
        <v>90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43587</v>
      </c>
      <c r="B513" s="27"/>
      <c r="C513" s="31">
        <f>ROUND(642.678,3)</f>
        <v>642.678</v>
      </c>
      <c r="D513" s="31">
        <f>F513</f>
        <v>648.17</v>
      </c>
      <c r="E513" s="31">
        <f>F513</f>
        <v>648.17</v>
      </c>
      <c r="F513" s="31">
        <f>ROUND(648.17,3)</f>
        <v>648.17</v>
      </c>
      <c r="G513" s="28"/>
      <c r="H513" s="42"/>
    </row>
    <row r="514" spans="1:8" ht="12.75" customHeight="1">
      <c r="A514" s="26">
        <v>43678</v>
      </c>
      <c r="B514" s="27"/>
      <c r="C514" s="31">
        <f>ROUND(642.678,3)</f>
        <v>642.678</v>
      </c>
      <c r="D514" s="31">
        <f>F514</f>
        <v>660.281</v>
      </c>
      <c r="E514" s="31">
        <f>F514</f>
        <v>660.281</v>
      </c>
      <c r="F514" s="31">
        <f>ROUND(660.281,3)</f>
        <v>660.281</v>
      </c>
      <c r="G514" s="28"/>
      <c r="H514" s="42"/>
    </row>
    <row r="515" spans="1:8" ht="12.75" customHeight="1">
      <c r="A515" s="26">
        <v>43776</v>
      </c>
      <c r="B515" s="27"/>
      <c r="C515" s="31">
        <f>ROUND(642.678,3)</f>
        <v>642.678</v>
      </c>
      <c r="D515" s="31">
        <f>F515</f>
        <v>674.105</v>
      </c>
      <c r="E515" s="31">
        <f>F515</f>
        <v>674.105</v>
      </c>
      <c r="F515" s="31">
        <f>ROUND(674.105,3)</f>
        <v>674.105</v>
      </c>
      <c r="G515" s="28"/>
      <c r="H515" s="42"/>
    </row>
    <row r="516" spans="1:8" ht="12.75" customHeight="1">
      <c r="A516" s="26">
        <v>43867</v>
      </c>
      <c r="B516" s="27"/>
      <c r="C516" s="31">
        <f>ROUND(642.678,3)</f>
        <v>642.678</v>
      </c>
      <c r="D516" s="31">
        <f>F516</f>
        <v>687.657</v>
      </c>
      <c r="E516" s="31">
        <f>F516</f>
        <v>687.657</v>
      </c>
      <c r="F516" s="31">
        <f>ROUND(687.657,3)</f>
        <v>687.657</v>
      </c>
      <c r="G516" s="28"/>
      <c r="H516" s="42"/>
    </row>
    <row r="517" spans="1:8" ht="12.75" customHeight="1">
      <c r="A517" s="26" t="s">
        <v>12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43546</v>
      </c>
      <c r="B518" s="27"/>
      <c r="C518" s="28">
        <f>ROUND(99.8734412511514,2)</f>
        <v>99.87</v>
      </c>
      <c r="D518" s="28">
        <f>F518</f>
        <v>99.58</v>
      </c>
      <c r="E518" s="28">
        <f>F518</f>
        <v>99.58</v>
      </c>
      <c r="F518" s="28">
        <f>ROUND(99.5762734993148,2)</f>
        <v>99.58</v>
      </c>
      <c r="G518" s="28"/>
      <c r="H518" s="42"/>
    </row>
    <row r="519" spans="1:8" ht="12.75" customHeight="1">
      <c r="A519" s="26" t="s">
        <v>13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43913</v>
      </c>
      <c r="B520" s="27"/>
      <c r="C520" s="28">
        <f>ROUND(99.331808331722,2)</f>
        <v>99.33</v>
      </c>
      <c r="D520" s="28">
        <f>F520</f>
        <v>98.8</v>
      </c>
      <c r="E520" s="28">
        <f>F520</f>
        <v>98.8</v>
      </c>
      <c r="F520" s="28">
        <f>ROUND(98.8041955231982,2)</f>
        <v>98.8</v>
      </c>
      <c r="G520" s="28"/>
      <c r="H520" s="42"/>
    </row>
    <row r="521" spans="1:8" ht="12.75" customHeight="1">
      <c r="A521" s="26" t="s">
        <v>14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45007</v>
      </c>
      <c r="B522" s="27"/>
      <c r="C522" s="28">
        <f>ROUND(97.5558450137764,2)</f>
        <v>97.56</v>
      </c>
      <c r="D522" s="28">
        <f>F522</f>
        <v>96.1</v>
      </c>
      <c r="E522" s="28">
        <f>F522</f>
        <v>96.1</v>
      </c>
      <c r="F522" s="28">
        <f>ROUND(96.1002234240173,2)</f>
        <v>96.1</v>
      </c>
      <c r="G522" s="28"/>
      <c r="H522" s="42"/>
    </row>
    <row r="523" spans="1:8" ht="12.75" customHeight="1">
      <c r="A523" s="26" t="s">
        <v>15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46834</v>
      </c>
      <c r="B524" s="27"/>
      <c r="C524" s="28">
        <f>ROUND(96.1207700643386,2)</f>
        <v>96.12</v>
      </c>
      <c r="D524" s="28">
        <f>F524</f>
        <v>95.36</v>
      </c>
      <c r="E524" s="28">
        <f>F524</f>
        <v>95.36</v>
      </c>
      <c r="F524" s="28">
        <f>ROUND(95.3611377515688,2)</f>
        <v>95.36</v>
      </c>
      <c r="G524" s="28"/>
      <c r="H524" s="42"/>
    </row>
    <row r="525" spans="1:8" ht="12.75" customHeight="1">
      <c r="A525" s="26" t="s">
        <v>91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43636</v>
      </c>
      <c r="B526" s="27"/>
      <c r="C526" s="28">
        <f>ROUND(99.8734412511514,2)</f>
        <v>99.87</v>
      </c>
      <c r="D526" s="28">
        <f>F526</f>
        <v>102.01</v>
      </c>
      <c r="E526" s="28">
        <f>F526</f>
        <v>102.01</v>
      </c>
      <c r="F526" s="28">
        <f>ROUND(102.012732364686,2)</f>
        <v>102.01</v>
      </c>
      <c r="G526" s="28"/>
      <c r="H526" s="42"/>
    </row>
    <row r="527" spans="1:8" ht="12.75" customHeight="1">
      <c r="A527" s="26" t="s">
        <v>92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43727</v>
      </c>
      <c r="B528" s="27"/>
      <c r="C528" s="28">
        <f>ROUND(99.8734412511514,2)</f>
        <v>99.87</v>
      </c>
      <c r="D528" s="28">
        <f>F528</f>
        <v>99.87</v>
      </c>
      <c r="E528" s="28">
        <f>F528</f>
        <v>99.87</v>
      </c>
      <c r="F528" s="28">
        <f>ROUND(99.8734412511514,2)</f>
        <v>99.87</v>
      </c>
      <c r="G528" s="28"/>
      <c r="H528" s="42"/>
    </row>
    <row r="529" spans="1:8" ht="12.75" customHeight="1">
      <c r="A529" s="26" t="s">
        <v>93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43637</v>
      </c>
      <c r="B530" s="27"/>
      <c r="C530" s="30">
        <f>ROUND(99.331808331722,5)</f>
        <v>99.33181</v>
      </c>
      <c r="D530" s="30">
        <f>F530</f>
        <v>99.74132</v>
      </c>
      <c r="E530" s="30">
        <f>F530</f>
        <v>99.74132</v>
      </c>
      <c r="F530" s="30">
        <f>ROUND(99.7413237173965,5)</f>
        <v>99.74132</v>
      </c>
      <c r="G530" s="28"/>
      <c r="H530" s="42"/>
    </row>
    <row r="531" spans="1:8" ht="12.75" customHeight="1">
      <c r="A531" s="26" t="s">
        <v>94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43728</v>
      </c>
      <c r="B532" s="27"/>
      <c r="C532" s="30">
        <f>ROUND(99.331808331722,5)</f>
        <v>99.33181</v>
      </c>
      <c r="D532" s="30">
        <f>F532</f>
        <v>101.87205</v>
      </c>
      <c r="E532" s="30">
        <f>F532</f>
        <v>101.87205</v>
      </c>
      <c r="F532" s="30">
        <f>ROUND(101.872048743032,5)</f>
        <v>101.87205</v>
      </c>
      <c r="G532" s="28"/>
      <c r="H532" s="42"/>
    </row>
    <row r="533" spans="1:8" ht="12.75" customHeight="1">
      <c r="A533" s="26" t="s">
        <v>95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44004</v>
      </c>
      <c r="B534" s="27"/>
      <c r="C534" s="28">
        <f>ROUND(99.331808331722,2)</f>
        <v>99.33</v>
      </c>
      <c r="D534" s="28">
        <f>F534</f>
        <v>102.36</v>
      </c>
      <c r="E534" s="28">
        <f>F534</f>
        <v>102.36</v>
      </c>
      <c r="F534" s="28">
        <f>ROUND(102.3614885954,2)</f>
        <v>102.36</v>
      </c>
      <c r="G534" s="28"/>
      <c r="H534" s="42"/>
    </row>
    <row r="535" spans="1:8" ht="12.75" customHeight="1">
      <c r="A535" s="26" t="s">
        <v>96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44095</v>
      </c>
      <c r="B536" s="27"/>
      <c r="C536" s="28">
        <f>ROUND(99.331808331722,2)</f>
        <v>99.33</v>
      </c>
      <c r="D536" s="28">
        <f>F536</f>
        <v>99.33</v>
      </c>
      <c r="E536" s="28">
        <f>F536</f>
        <v>99.33</v>
      </c>
      <c r="F536" s="28">
        <f>ROUND(99.331808331722,2)</f>
        <v>99.33</v>
      </c>
      <c r="G536" s="28"/>
      <c r="H536" s="42"/>
    </row>
    <row r="537" spans="1:8" ht="12.75" customHeight="1">
      <c r="A537" s="26" t="s">
        <v>97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44182</v>
      </c>
      <c r="B538" s="27"/>
      <c r="C538" s="30">
        <f>ROUND(97.5558450137764,5)</f>
        <v>97.55585</v>
      </c>
      <c r="D538" s="30">
        <f>F538</f>
        <v>96.10442</v>
      </c>
      <c r="E538" s="30">
        <f>F538</f>
        <v>96.10442</v>
      </c>
      <c r="F538" s="30">
        <f>ROUND(96.1044152351307,5)</f>
        <v>96.10442</v>
      </c>
      <c r="G538" s="28"/>
      <c r="H538" s="42"/>
    </row>
    <row r="539" spans="1:8" ht="12.75" customHeight="1">
      <c r="A539" s="26" t="s">
        <v>98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44271</v>
      </c>
      <c r="B540" s="27"/>
      <c r="C540" s="30">
        <f>ROUND(97.5558450137764,5)</f>
        <v>97.55585</v>
      </c>
      <c r="D540" s="30">
        <f>F540</f>
        <v>95.26082</v>
      </c>
      <c r="E540" s="30">
        <f>F540</f>
        <v>95.26082</v>
      </c>
      <c r="F540" s="30">
        <f>ROUND(95.2608196214378,5)</f>
        <v>95.26082</v>
      </c>
      <c r="G540" s="28"/>
      <c r="H540" s="42"/>
    </row>
    <row r="541" spans="1:8" ht="12.75" customHeight="1">
      <c r="A541" s="26" t="s">
        <v>99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44362</v>
      </c>
      <c r="B542" s="27"/>
      <c r="C542" s="30">
        <f>ROUND(97.5558450137764,5)</f>
        <v>97.55585</v>
      </c>
      <c r="D542" s="30">
        <f>F542</f>
        <v>94.36453</v>
      </c>
      <c r="E542" s="30">
        <f>F542</f>
        <v>94.36453</v>
      </c>
      <c r="F542" s="30">
        <f>ROUND(94.3645310776206,5)</f>
        <v>94.36453</v>
      </c>
      <c r="G542" s="28"/>
      <c r="H542" s="42"/>
    </row>
    <row r="543" spans="1:8" ht="12.75" customHeight="1">
      <c r="A543" s="26" t="s">
        <v>100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44460</v>
      </c>
      <c r="B544" s="27"/>
      <c r="C544" s="30">
        <f>ROUND(97.5558450137764,5)</f>
        <v>97.55585</v>
      </c>
      <c r="D544" s="30">
        <f>F544</f>
        <v>94.43035</v>
      </c>
      <c r="E544" s="30">
        <f>F544</f>
        <v>94.43035</v>
      </c>
      <c r="F544" s="30">
        <f>ROUND(94.4303533959625,5)</f>
        <v>94.43035</v>
      </c>
      <c r="G544" s="28"/>
      <c r="H544" s="42"/>
    </row>
    <row r="545" spans="1:8" ht="12.75" customHeight="1">
      <c r="A545" s="26" t="s">
        <v>101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44551</v>
      </c>
      <c r="B546" s="27"/>
      <c r="C546" s="30">
        <f>ROUND(97.5558450137764,5)</f>
        <v>97.55585</v>
      </c>
      <c r="D546" s="30">
        <f>F546</f>
        <v>96.53403</v>
      </c>
      <c r="E546" s="30">
        <f>F546</f>
        <v>96.53403</v>
      </c>
      <c r="F546" s="30">
        <f>ROUND(96.5340289499534,5)</f>
        <v>96.53403</v>
      </c>
      <c r="G546" s="28"/>
      <c r="H546" s="42"/>
    </row>
    <row r="547" spans="1:8" ht="12.75" customHeight="1">
      <c r="A547" s="26" t="s">
        <v>102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44635</v>
      </c>
      <c r="B548" s="27"/>
      <c r="C548" s="30">
        <f>ROUND(97.5558450137764,5)</f>
        <v>97.55585</v>
      </c>
      <c r="D548" s="30">
        <f>F548</f>
        <v>96.59193</v>
      </c>
      <c r="E548" s="30">
        <f>F548</f>
        <v>96.59193</v>
      </c>
      <c r="F548" s="30">
        <f>ROUND(96.5919293994119,5)</f>
        <v>96.59193</v>
      </c>
      <c r="G548" s="28"/>
      <c r="H548" s="42"/>
    </row>
    <row r="549" spans="1:8" ht="12.75" customHeight="1">
      <c r="A549" s="26" t="s">
        <v>103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44733</v>
      </c>
      <c r="B550" s="27"/>
      <c r="C550" s="30">
        <f>ROUND(97.5558450137764,5)</f>
        <v>97.55585</v>
      </c>
      <c r="D550" s="30">
        <f>F550</f>
        <v>97.71523</v>
      </c>
      <c r="E550" s="30">
        <f>F550</f>
        <v>97.71523</v>
      </c>
      <c r="F550" s="30">
        <f>ROUND(97.7152259885343,5)</f>
        <v>97.71523</v>
      </c>
      <c r="G550" s="28"/>
      <c r="H550" s="42"/>
    </row>
    <row r="551" spans="1:8" ht="12.75" customHeight="1">
      <c r="A551" s="26" t="s">
        <v>104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44824</v>
      </c>
      <c r="B552" s="27"/>
      <c r="C552" s="30">
        <f>ROUND(97.5558450137764,5)</f>
        <v>97.55585</v>
      </c>
      <c r="D552" s="30">
        <f>F552</f>
        <v>101.59169</v>
      </c>
      <c r="E552" s="30">
        <f>F552</f>
        <v>101.59169</v>
      </c>
      <c r="F552" s="30">
        <f>ROUND(101.591694759864,5)</f>
        <v>101.59169</v>
      </c>
      <c r="G552" s="28"/>
      <c r="H552" s="42"/>
    </row>
    <row r="553" spans="1:8" ht="12.75" customHeight="1">
      <c r="A553" s="26" t="s">
        <v>105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45097</v>
      </c>
      <c r="B554" s="27"/>
      <c r="C554" s="28">
        <f>ROUND(97.5558450137764,2)</f>
        <v>97.56</v>
      </c>
      <c r="D554" s="28">
        <f>F554</f>
        <v>102.12</v>
      </c>
      <c r="E554" s="28">
        <f>F554</f>
        <v>102.12</v>
      </c>
      <c r="F554" s="28">
        <f>ROUND(102.116759201475,2)</f>
        <v>102.12</v>
      </c>
      <c r="G554" s="28"/>
      <c r="H554" s="42"/>
    </row>
    <row r="555" spans="1:8" ht="12.75" customHeight="1">
      <c r="A555" s="26" t="s">
        <v>106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45188</v>
      </c>
      <c r="B556" s="27"/>
      <c r="C556" s="28">
        <f>ROUND(97.5558450137764,2)</f>
        <v>97.56</v>
      </c>
      <c r="D556" s="28">
        <f>F556</f>
        <v>97.56</v>
      </c>
      <c r="E556" s="28">
        <f>F556</f>
        <v>97.56</v>
      </c>
      <c r="F556" s="28">
        <f>ROUND(97.5558450137764,2)</f>
        <v>97.56</v>
      </c>
      <c r="G556" s="28"/>
      <c r="H556" s="42"/>
    </row>
    <row r="557" spans="1:8" ht="12.75" customHeight="1">
      <c r="A557" s="26" t="s">
        <v>107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46008</v>
      </c>
      <c r="B558" s="27"/>
      <c r="C558" s="30">
        <f>ROUND(96.1207700643386,5)</f>
        <v>96.12077</v>
      </c>
      <c r="D558" s="30">
        <f>F558</f>
        <v>93.81816</v>
      </c>
      <c r="E558" s="30">
        <f>F558</f>
        <v>93.81816</v>
      </c>
      <c r="F558" s="30">
        <f>ROUND(93.8181601779028,5)</f>
        <v>93.81816</v>
      </c>
      <c r="G558" s="28"/>
      <c r="H558" s="42"/>
    </row>
    <row r="559" spans="1:8" ht="12.75" customHeight="1">
      <c r="A559" s="26" t="s">
        <v>108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46097</v>
      </c>
      <c r="B560" s="27"/>
      <c r="C560" s="30">
        <f>ROUND(96.1207700643386,5)</f>
        <v>96.12077</v>
      </c>
      <c r="D560" s="30">
        <f>F560</f>
        <v>90.75912</v>
      </c>
      <c r="E560" s="30">
        <f>F560</f>
        <v>90.75912</v>
      </c>
      <c r="F560" s="30">
        <f>ROUND(90.7591158308795,5)</f>
        <v>90.75912</v>
      </c>
      <c r="G560" s="28"/>
      <c r="H560" s="42"/>
    </row>
    <row r="561" spans="1:8" ht="12.75" customHeight="1">
      <c r="A561" s="26" t="s">
        <v>109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46188</v>
      </c>
      <c r="B562" s="27"/>
      <c r="C562" s="30">
        <f>ROUND(96.1207700643386,5)</f>
        <v>96.12077</v>
      </c>
      <c r="D562" s="30">
        <f>F562</f>
        <v>89.45735</v>
      </c>
      <c r="E562" s="30">
        <f>F562</f>
        <v>89.45735</v>
      </c>
      <c r="F562" s="30">
        <f>ROUND(89.45734825134,5)</f>
        <v>89.45735</v>
      </c>
      <c r="G562" s="28"/>
      <c r="H562" s="42"/>
    </row>
    <row r="563" spans="1:8" ht="12.75" customHeight="1">
      <c r="A563" s="26" t="s">
        <v>110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46286</v>
      </c>
      <c r="B564" s="27"/>
      <c r="C564" s="30">
        <f>ROUND(96.1207700643386,5)</f>
        <v>96.12077</v>
      </c>
      <c r="D564" s="30">
        <f>F564</f>
        <v>91.60798</v>
      </c>
      <c r="E564" s="30">
        <f>F564</f>
        <v>91.60798</v>
      </c>
      <c r="F564" s="30">
        <f>ROUND(91.6079825830082,5)</f>
        <v>91.60798</v>
      </c>
      <c r="G564" s="28"/>
      <c r="H564" s="42"/>
    </row>
    <row r="565" spans="1:8" ht="12.75" customHeight="1">
      <c r="A565" s="26" t="s">
        <v>111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46377</v>
      </c>
      <c r="B566" s="27"/>
      <c r="C566" s="30">
        <f>ROUND(96.1207700643386,5)</f>
        <v>96.12077</v>
      </c>
      <c r="D566" s="30">
        <f>F566</f>
        <v>95.41082</v>
      </c>
      <c r="E566" s="30">
        <f>F566</f>
        <v>95.41082</v>
      </c>
      <c r="F566" s="30">
        <f>ROUND(95.4108180425654,5)</f>
        <v>95.41082</v>
      </c>
      <c r="G566" s="28"/>
      <c r="H566" s="42"/>
    </row>
    <row r="567" spans="1:8" ht="12.75" customHeight="1">
      <c r="A567" s="26" t="s">
        <v>112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46461</v>
      </c>
      <c r="B568" s="27"/>
      <c r="C568" s="30">
        <f>ROUND(96.1207700643386,5)</f>
        <v>96.12077</v>
      </c>
      <c r="D568" s="30">
        <f>F568</f>
        <v>93.95742</v>
      </c>
      <c r="E568" s="30">
        <f>F568</f>
        <v>93.95742</v>
      </c>
      <c r="F568" s="30">
        <f>ROUND(93.9574187884698,5)</f>
        <v>93.95742</v>
      </c>
      <c r="G568" s="28"/>
      <c r="H568" s="42"/>
    </row>
    <row r="569" spans="1:8" ht="12.75" customHeight="1">
      <c r="A569" s="26" t="s">
        <v>113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46559</v>
      </c>
      <c r="B570" s="27"/>
      <c r="C570" s="30">
        <f>ROUND(96.1207700643386,5)</f>
        <v>96.12077</v>
      </c>
      <c r="D570" s="30">
        <f>F570</f>
        <v>96.04095</v>
      </c>
      <c r="E570" s="30">
        <f>F570</f>
        <v>96.04095</v>
      </c>
      <c r="F570" s="30">
        <f>ROUND(96.0409512722798,5)</f>
        <v>96.04095</v>
      </c>
      <c r="G570" s="28"/>
      <c r="H570" s="42"/>
    </row>
    <row r="571" spans="1:8" ht="12.75" customHeight="1">
      <c r="A571" s="26" t="s">
        <v>114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46650</v>
      </c>
      <c r="B572" s="27"/>
      <c r="C572" s="30">
        <f>ROUND(96.1207700643386,5)</f>
        <v>96.12077</v>
      </c>
      <c r="D572" s="30">
        <f>F572</f>
        <v>101.52661</v>
      </c>
      <c r="E572" s="30">
        <f>F572</f>
        <v>101.52661</v>
      </c>
      <c r="F572" s="30">
        <f>ROUND(101.526605048926,5)</f>
        <v>101.52661</v>
      </c>
      <c r="G572" s="28"/>
      <c r="H572" s="42"/>
    </row>
    <row r="573" spans="1:8" ht="12.75" customHeight="1">
      <c r="A573" s="26" t="s">
        <v>115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46924</v>
      </c>
      <c r="B574" s="27"/>
      <c r="C574" s="28">
        <f>ROUND(96.1207700643386,2)</f>
        <v>96.12</v>
      </c>
      <c r="D574" s="28">
        <f>F574</f>
        <v>102.6</v>
      </c>
      <c r="E574" s="28">
        <f>F574</f>
        <v>102.6</v>
      </c>
      <c r="F574" s="28">
        <f>ROUND(102.599154839731,2)</f>
        <v>102.6</v>
      </c>
      <c r="G574" s="28"/>
      <c r="H574" s="42"/>
    </row>
    <row r="575" spans="1:8" ht="12.75" customHeight="1">
      <c r="A575" s="26" t="s">
        <v>116</v>
      </c>
      <c r="B575" s="27"/>
      <c r="C575" s="29"/>
      <c r="D575" s="29"/>
      <c r="E575" s="29"/>
      <c r="F575" s="29"/>
      <c r="G575" s="28"/>
      <c r="H575" s="42"/>
    </row>
    <row r="576" spans="1:8" ht="12.75" customHeight="1" thickBot="1">
      <c r="A576" s="38">
        <v>47015</v>
      </c>
      <c r="B576" s="39"/>
      <c r="C576" s="40">
        <f>ROUND(96.1207700643386,2)</f>
        <v>96.12</v>
      </c>
      <c r="D576" s="40">
        <f>F576</f>
        <v>96.12</v>
      </c>
      <c r="E576" s="40">
        <f>F576</f>
        <v>96.12</v>
      </c>
      <c r="F576" s="40">
        <f>ROUND(96.1207700643386,2)</f>
        <v>96.12</v>
      </c>
      <c r="G576" s="40"/>
      <c r="H576" s="43"/>
    </row>
  </sheetData>
  <sheetProtection/>
  <mergeCells count="575">
    <mergeCell ref="A573:B573"/>
    <mergeCell ref="A574:B574"/>
    <mergeCell ref="A575:B575"/>
    <mergeCell ref="A576:B576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9:B479"/>
    <mergeCell ref="A480:B480"/>
    <mergeCell ref="A481:B481"/>
    <mergeCell ref="A482:B482"/>
    <mergeCell ref="A476:B476"/>
    <mergeCell ref="A477:B477"/>
    <mergeCell ref="A478:B478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2019-03-20T15:57:38Z</dcterms:modified>
  <cp:category/>
  <cp:version/>
  <cp:contentType/>
  <cp:contentStatus/>
</cp:coreProperties>
</file>