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450" windowWidth="12645" windowHeight="7350" activeTab="0"/>
  </bookViews>
  <sheets>
    <sheet name="Jerry" sheetId="1" r:id="rId1"/>
  </sheets>
  <definedNames>
    <definedName name="_xlfn.RTD" hidden="1">#NAME?</definedName>
    <definedName name="_xlnm.Print_Area" localSheetId="0">'Jerry'!$A$1:$H$477</definedName>
  </definedNames>
  <calcPr fullCalcOnLoad="1"/>
</workbook>
</file>

<file path=xl/sharedStrings.xml><?xml version="1.0" encoding="utf-8"?>
<sst xmlns="http://schemas.openxmlformats.org/spreadsheetml/2006/main" count="100" uniqueCount="100">
  <si>
    <t>VOL.</t>
  </si>
  <si>
    <t>PREV.</t>
  </si>
  <si>
    <t>CONTRACT</t>
  </si>
  <si>
    <t>SPOT</t>
  </si>
  <si>
    <t>BID</t>
  </si>
  <si>
    <t>OFFER</t>
  </si>
  <si>
    <t>M-T-M</t>
  </si>
  <si>
    <t>CHANGES</t>
  </si>
  <si>
    <t>VOLS.</t>
  </si>
  <si>
    <t>DATE:</t>
  </si>
  <si>
    <t>JSE YIELDX CLOSING PRICES</t>
  </si>
  <si>
    <t>Market</t>
  </si>
  <si>
    <t>I2025 SPOT  (2025)</t>
  </si>
  <si>
    <t>I2038 SPOT  (2038)</t>
  </si>
  <si>
    <t>I2050 SPOT  (2050)</t>
  </si>
  <si>
    <t>EL28 SPOT  (EL28)</t>
  </si>
  <si>
    <t>ES33 SPOT  (ES33)</t>
  </si>
  <si>
    <t>R2023 SPOT  (R023)</t>
  </si>
  <si>
    <t>R186 SPOT Bond (R186)</t>
  </si>
  <si>
    <t>R197 SPOT Bond (R197)</t>
  </si>
  <si>
    <t>R202 SPOT Bond (R202)</t>
  </si>
  <si>
    <t>R203 SPOT Bond (R203)</t>
  </si>
  <si>
    <t>R204 SPOT Bond (R204)</t>
  </si>
  <si>
    <t>R207 SPOT Bond (R207)</t>
  </si>
  <si>
    <t>R208 SPOT Bond (R208)</t>
  </si>
  <si>
    <t>R209 SPOT Bond (R209)</t>
  </si>
  <si>
    <t>R210 SPOT Bond (R210)</t>
  </si>
  <si>
    <t>R211 SPOT Bond (R211)</t>
  </si>
  <si>
    <t>R212 SPOT Bond (R212)</t>
  </si>
  <si>
    <t>R213 SPOT Bond (R213)</t>
  </si>
  <si>
    <t>2025 Bond Future (2025)</t>
  </si>
  <si>
    <t>2030 Bond Future (2030)</t>
  </si>
  <si>
    <t>2032 Bond Future (2032)</t>
  </si>
  <si>
    <t>2033 Bond Future (2033)</t>
  </si>
  <si>
    <t>R2037 Bond Future (2037)</t>
  </si>
  <si>
    <t>2038 Bond Future (2038)</t>
  </si>
  <si>
    <t>R2040 Bond Future (2040)</t>
  </si>
  <si>
    <t>R 2044 Bond Future (2044)</t>
  </si>
  <si>
    <t>2046 Bond Future (2046)</t>
  </si>
  <si>
    <t>2050 Bond Future (2050)</t>
  </si>
  <si>
    <t>EL28 Bond Future (EL28)</t>
  </si>
  <si>
    <t>ES33 FUTURE  (ES33)</t>
  </si>
  <si>
    <t>ES42 Bond Future (ES42)</t>
  </si>
  <si>
    <t>IR Cando ICAA (ICAA)</t>
  </si>
  <si>
    <t>R023 Bond Future (R023)</t>
  </si>
  <si>
    <t>R035 FUTURE  (R035)</t>
  </si>
  <si>
    <t>R186 Bond Future (R186)</t>
  </si>
  <si>
    <t>R197 Bond Future (R197)</t>
  </si>
  <si>
    <t>R202 Bond Future (R202)</t>
  </si>
  <si>
    <t>R203 Bond Future (R203)</t>
  </si>
  <si>
    <t>R204 Bond Future (R204)</t>
  </si>
  <si>
    <t>R207 Bond Future (R207)</t>
  </si>
  <si>
    <t>R208 Bond Future (R208)</t>
  </si>
  <si>
    <t>R209 Bond Future (R209)</t>
  </si>
  <si>
    <t>R210 Bond Future (R210)</t>
  </si>
  <si>
    <t>R211 Bond Future (R211)</t>
  </si>
  <si>
    <t>R212 Bond Future (R212)</t>
  </si>
  <si>
    <t>R213 FUTURE  (R213)</t>
  </si>
  <si>
    <t>R214 FUTURE  (R214)</t>
  </si>
  <si>
    <t>R248 Bond Future (R248)</t>
  </si>
  <si>
    <t>Any Day DAEU EUR (DAEU)</t>
  </si>
  <si>
    <t>Any Day DAGB GBP (DAGB)</t>
  </si>
  <si>
    <t>Any Day DAUS USD  (DAUS)</t>
  </si>
  <si>
    <t>Euro / Dollar Quanto (EUUS)</t>
  </si>
  <si>
    <t>Australian Dollar Rand (ZAAD)</t>
  </si>
  <si>
    <t>AED / ZAR (ZAAE)</t>
  </si>
  <si>
    <t>Rand / Botswana Pula  (ZABP)</t>
  </si>
  <si>
    <t>Rand / Can Dollar  (ZACA)</t>
  </si>
  <si>
    <t>Rand / Chinese Renminbi (ZACR)</t>
  </si>
  <si>
    <t>Rand / Danish Krone (ZADK)</t>
  </si>
  <si>
    <t>Euro Rand (ZAEU)</t>
  </si>
  <si>
    <t>Rand / Swiss Franc (ZAFR)</t>
  </si>
  <si>
    <t>Pound Rand (ZAGB)</t>
  </si>
  <si>
    <t>Rand / HKD  (ZAHK)</t>
  </si>
  <si>
    <t>Rand / Japanese Yen  (ZAJY)</t>
  </si>
  <si>
    <t>Rand / Kenyan Shilling (ZAKS)</t>
  </si>
  <si>
    <t>Rand / Nigerian Naira (ZANN)</t>
  </si>
  <si>
    <t>Rand / New Zealand Dollar  (ZANZ)</t>
  </si>
  <si>
    <t>Rand / Singapore Dollar (ZASD)</t>
  </si>
  <si>
    <t>Turkish Lira / Rand (ZATR)</t>
  </si>
  <si>
    <t>Rand / Dollar Maxi  (ZAUM)</t>
  </si>
  <si>
    <t>US Dollar Rand (ZAUS)</t>
  </si>
  <si>
    <t>Rand / Zambian Kwacha (ZAZW)</t>
  </si>
  <si>
    <t>All Bond Term Splits 12 Years Onwards (AL12)</t>
  </si>
  <si>
    <t>All Bond Index Term Split 3-7 Years (AL37)</t>
  </si>
  <si>
    <t>All Bond Term Splits 7-12 Years (AL7T)</t>
  </si>
  <si>
    <t>All Bond Index (ALBI)</t>
  </si>
  <si>
    <t>IGOV  (IGOV)</t>
  </si>
  <si>
    <t>Inflation Linked Bond Index (ILBI)</t>
  </si>
  <si>
    <t>Rand Currency Index  (RAIN)</t>
  </si>
  <si>
    <t>Jibar Future  (JBAF)</t>
  </si>
  <si>
    <t>Govi Total Return Index (GOVI)</t>
  </si>
  <si>
    <t>1Y Stnd 7% Dec 2015-2016 (IS01)</t>
  </si>
  <si>
    <t>1Y Stnd 7.25% Mar 2016-2017 (IS01)</t>
  </si>
  <si>
    <t>2Y Stnd 7.25% Dec 2015-2017 (IS02)</t>
  </si>
  <si>
    <t>2Y Stnd 7.75% Mar 2016-2018 (IS02)</t>
  </si>
  <si>
    <t>5Y Stnd 8% Dec 2015-2020 (IS05)</t>
  </si>
  <si>
    <t>5Y Stnd 8.25% Mar 2016-2021 (IS05)</t>
  </si>
  <si>
    <t>10Y Stnd 8.25% Dec 2015-2025 (IS10)</t>
  </si>
  <si>
    <t>10Y Stnd 8.75% Mar 2016-2026 (IS10)</t>
  </si>
</sst>
</file>

<file path=xl/styles.xml><?xml version="1.0" encoding="utf-8"?>
<styleSheet xmlns="http://schemas.openxmlformats.org/spreadsheetml/2006/main">
  <numFmts count="59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R&quot;#,##0_);\(&quot;R&quot;#,##0\)"/>
    <numFmt numFmtId="173" formatCode="&quot;R&quot;#,##0_);[Red]\(&quot;R&quot;#,##0\)"/>
    <numFmt numFmtId="174" formatCode="&quot;R&quot;#,##0.00_);\(&quot;R&quot;#,##0.00\)"/>
    <numFmt numFmtId="175" formatCode="&quot;R&quot;#,##0.00_);[Red]\(&quot;R&quot;#,##0.00\)"/>
    <numFmt numFmtId="176" formatCode="_(&quot;R&quot;* #,##0_);_(&quot;R&quot;* \(#,##0\);_(&quot;R&quot;* &quot;-&quot;_);_(@_)"/>
    <numFmt numFmtId="177" formatCode="_(&quot;R&quot;* #,##0.00_);_(&quot;R&quot;* \(#,##0.00\);_(&quot;R&quot;* &quot;-&quot;??_);_(@_)"/>
    <numFmt numFmtId="178" formatCode="&quot;R&quot;#,##0;\-&quot;R&quot;#,##0"/>
    <numFmt numFmtId="179" formatCode="&quot;R&quot;#,##0;[Red]\-&quot;R&quot;#,##0"/>
    <numFmt numFmtId="180" formatCode="&quot;R&quot;#,##0.00;\-&quot;R&quot;#,##0.00"/>
    <numFmt numFmtId="181" formatCode="&quot;R&quot;#,##0.00;[Red]\-&quot;R&quot;#,##0.00"/>
    <numFmt numFmtId="182" formatCode="_-&quot;R&quot;* #,##0_-;\-&quot;R&quot;* #,##0_-;_-&quot;R&quot;* &quot;-&quot;_-;_-@_-"/>
    <numFmt numFmtId="183" formatCode="_-* #,##0_-;\-* #,##0_-;_-* &quot;-&quot;_-;_-@_-"/>
    <numFmt numFmtId="184" formatCode="_-&quot;R&quot;* #,##0.00_-;\-&quot;R&quot;* #,##0.00_-;_-&quot;R&quot;* &quot;-&quot;??_-;_-@_-"/>
    <numFmt numFmtId="185" formatCode="_-* #,##0.00_-;\-* #,##0.00_-;_-* &quot;-&quot;??_-;_-@_-"/>
    <numFmt numFmtId="186" formatCode="&quot;£&quot;#,##0;\-&quot;£&quot;#,##0"/>
    <numFmt numFmtId="187" formatCode="&quot;£&quot;#,##0;[Red]\-&quot;£&quot;#,##0"/>
    <numFmt numFmtId="188" formatCode="&quot;£&quot;#,##0.00;\-&quot;£&quot;#,##0.00"/>
    <numFmt numFmtId="189" formatCode="&quot;£&quot;#,##0.00;[Red]\-&quot;£&quot;#,##0.00"/>
    <numFmt numFmtId="190" formatCode="_-&quot;£&quot;* #,##0_-;\-&quot;£&quot;* #,##0_-;_-&quot;£&quot;* &quot;-&quot;_-;_-@_-"/>
    <numFmt numFmtId="191" formatCode="_-&quot;£&quot;* #,##0.00_-;\-&quot;£&quot;* #,##0.00_-;_-&quot;£&quot;* &quot;-&quot;??_-;_-@_-"/>
    <numFmt numFmtId="192" formatCode="0.0"/>
    <numFmt numFmtId="193" formatCode="0.000"/>
    <numFmt numFmtId="194" formatCode="0.0000"/>
    <numFmt numFmtId="195" formatCode="0.0%"/>
    <numFmt numFmtId="196" formatCode="0.000%"/>
    <numFmt numFmtId="197" formatCode="0.00000"/>
    <numFmt numFmtId="198" formatCode="mm/dd/yy"/>
    <numFmt numFmtId="199" formatCode="0.000000"/>
    <numFmt numFmtId="200" formatCode="0.0000000"/>
    <numFmt numFmtId="201" formatCode="dd\-mmm\-yyyy"/>
    <numFmt numFmtId="202" formatCode="mmmm\ d\,\ yyyy"/>
    <numFmt numFmtId="203" formatCode="dd\ mmmm\ \ yyyy"/>
    <numFmt numFmtId="204" formatCode="dd\ mmmm\ yyyy"/>
    <numFmt numFmtId="205" formatCode="mmmm\-yy"/>
    <numFmt numFmtId="206" formatCode="m/d/yy"/>
    <numFmt numFmtId="207" formatCode="mmm\-yyyy"/>
    <numFmt numFmtId="208" formatCode="[$-409]dddd\,\ mmmm\ dd\,\ yyyy"/>
    <numFmt numFmtId="209" formatCode="[$-409]d\-mmm\-yyyy;@"/>
    <numFmt numFmtId="210" formatCode="[$-409]mmmm\ d\,\ yyyy;@"/>
    <numFmt numFmtId="211" formatCode="&quot;Yes&quot;;&quot;Yes&quot;;&quot;No&quot;"/>
    <numFmt numFmtId="212" formatCode="&quot;True&quot;;&quot;True&quot;;&quot;False&quot;"/>
    <numFmt numFmtId="213" formatCode="&quot;On&quot;;&quot;On&quot;;&quot;Off&quot;"/>
    <numFmt numFmtId="214" formatCode="[$€-2]\ #,##0.00_);[Red]\([$€-2]\ #,##0.00\)"/>
  </numFmts>
  <fonts count="42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b/>
      <sz val="8"/>
      <name val="Bookman Old Style"/>
      <family val="1"/>
    </font>
    <font>
      <b/>
      <sz val="8"/>
      <color indexed="10"/>
      <name val="Bookman Old Style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38">
    <xf numFmtId="0" fontId="0" fillId="0" borderId="0" xfId="0" applyAlignment="1">
      <alignment/>
    </xf>
    <xf numFmtId="0" fontId="6" fillId="0" borderId="0" xfId="0" applyFont="1" applyFill="1" applyBorder="1" applyAlignment="1" applyProtection="1">
      <alignment/>
      <protection locked="0"/>
    </xf>
    <xf numFmtId="0" fontId="6" fillId="0" borderId="0" xfId="0" applyFont="1" applyFill="1" applyAlignment="1" applyProtection="1">
      <alignment/>
      <protection locked="0"/>
    </xf>
    <xf numFmtId="0" fontId="8" fillId="0" borderId="0" xfId="0" applyFont="1" applyFill="1" applyBorder="1" applyAlignment="1" applyProtection="1">
      <alignment horizontal="center"/>
      <protection locked="0"/>
    </xf>
    <xf numFmtId="0" fontId="0" fillId="0" borderId="0" xfId="0" applyFont="1" applyFill="1" applyAlignment="1" applyProtection="1">
      <alignment/>
      <protection locked="0"/>
    </xf>
    <xf numFmtId="0" fontId="6" fillId="0" borderId="10" xfId="0" applyFont="1" applyFill="1" applyBorder="1" applyAlignment="1" applyProtection="1">
      <alignment horizontal="centerContinuous"/>
      <protection locked="0"/>
    </xf>
    <xf numFmtId="0" fontId="6" fillId="0" borderId="11" xfId="0" applyFont="1" applyFill="1" applyBorder="1" applyAlignment="1" applyProtection="1">
      <alignment horizontal="center"/>
      <protection locked="0"/>
    </xf>
    <xf numFmtId="2" fontId="6" fillId="0" borderId="11" xfId="0" applyNumberFormat="1" applyFont="1" applyFill="1" applyBorder="1" applyAlignment="1" applyProtection="1">
      <alignment horizontal="center"/>
      <protection locked="0"/>
    </xf>
    <xf numFmtId="201" fontId="7" fillId="0" borderId="0" xfId="0" applyNumberFormat="1" applyFont="1" applyFill="1" applyBorder="1" applyAlignment="1" applyProtection="1">
      <alignment horizontal="left"/>
      <protection locked="0"/>
    </xf>
    <xf numFmtId="201" fontId="6" fillId="0" borderId="12" xfId="0" applyNumberFormat="1" applyFont="1" applyFill="1" applyBorder="1" applyAlignment="1" applyProtection="1">
      <alignment horizontal="centerContinuous"/>
      <protection locked="0"/>
    </xf>
    <xf numFmtId="2" fontId="6" fillId="0" borderId="13" xfId="0" applyNumberFormat="1" applyFont="1" applyFill="1" applyBorder="1" applyAlignment="1" applyProtection="1">
      <alignment horizontal="center"/>
      <protection locked="0"/>
    </xf>
    <xf numFmtId="0" fontId="6" fillId="0" borderId="14" xfId="0" applyFont="1" applyFill="1" applyBorder="1" applyAlignment="1" applyProtection="1">
      <alignment horizontal="center"/>
      <protection locked="0"/>
    </xf>
    <xf numFmtId="2" fontId="6" fillId="0" borderId="14" xfId="0" applyNumberFormat="1" applyFont="1" applyFill="1" applyBorder="1" applyAlignment="1" applyProtection="1">
      <alignment horizontal="center"/>
      <protection locked="0"/>
    </xf>
    <xf numFmtId="2" fontId="6" fillId="0" borderId="15" xfId="0" applyNumberFormat="1" applyFont="1" applyFill="1" applyBorder="1" applyAlignment="1" applyProtection="1">
      <alignment horizontal="center"/>
      <protection locked="0"/>
    </xf>
    <xf numFmtId="201" fontId="6" fillId="0" borderId="0" xfId="0" applyNumberFormat="1" applyFont="1" applyFill="1" applyBorder="1" applyAlignment="1" applyProtection="1">
      <alignment horizontal="center"/>
      <protection locked="0"/>
    </xf>
    <xf numFmtId="2" fontId="6" fillId="0" borderId="0" xfId="0" applyNumberFormat="1" applyFont="1" applyFill="1" applyBorder="1" applyAlignment="1" applyProtection="1">
      <alignment horizontal="center"/>
      <protection locked="0"/>
    </xf>
    <xf numFmtId="0" fontId="0" fillId="0" borderId="0" xfId="0" applyFont="1" applyFill="1" applyBorder="1" applyAlignment="1" applyProtection="1">
      <alignment/>
      <protection locked="0"/>
    </xf>
    <xf numFmtId="0" fontId="6" fillId="0" borderId="0" xfId="0" applyFont="1" applyFill="1" applyBorder="1" applyAlignment="1" applyProtection="1">
      <alignment horizontal="center"/>
      <protection locked="0"/>
    </xf>
    <xf numFmtId="0" fontId="6" fillId="0" borderId="16" xfId="0" applyFont="1" applyFill="1" applyBorder="1" applyAlignment="1" applyProtection="1">
      <alignment horizontal="center"/>
      <protection locked="0"/>
    </xf>
    <xf numFmtId="0" fontId="6" fillId="0" borderId="17" xfId="0" applyFont="1" applyFill="1" applyBorder="1" applyAlignment="1" applyProtection="1">
      <alignment horizontal="center"/>
      <protection locked="0"/>
    </xf>
    <xf numFmtId="201" fontId="8" fillId="0" borderId="18" xfId="0" applyNumberFormat="1" applyFont="1" applyFill="1" applyBorder="1" applyAlignment="1" applyProtection="1">
      <alignment horizontal="center"/>
      <protection locked="0"/>
    </xf>
    <xf numFmtId="1" fontId="8" fillId="0" borderId="19" xfId="0" applyNumberFormat="1" applyFont="1" applyFill="1" applyBorder="1" applyAlignment="1" applyProtection="1">
      <alignment horizontal="center"/>
      <protection locked="0"/>
    </xf>
    <xf numFmtId="201" fontId="6" fillId="0" borderId="20" xfId="0" applyNumberFormat="1" applyFont="1" applyFill="1" applyBorder="1" applyAlignment="1" applyProtection="1">
      <alignment horizontal="center"/>
      <protection locked="0"/>
    </xf>
    <xf numFmtId="0" fontId="6" fillId="0" borderId="20" xfId="0" applyFont="1" applyFill="1" applyBorder="1" applyAlignment="1" applyProtection="1">
      <alignment horizontal="center"/>
      <protection locked="0"/>
    </xf>
    <xf numFmtId="2" fontId="6" fillId="0" borderId="20" xfId="0" applyNumberFormat="1" applyFont="1" applyFill="1" applyBorder="1" applyAlignment="1" applyProtection="1">
      <alignment horizontal="center"/>
      <protection locked="0"/>
    </xf>
    <xf numFmtId="194" fontId="6" fillId="0" borderId="20" xfId="0" applyNumberFormat="1" applyFont="1" applyFill="1" applyBorder="1" applyAlignment="1" applyProtection="1">
      <alignment horizontal="center"/>
      <protection locked="0"/>
    </xf>
    <xf numFmtId="197" fontId="6" fillId="0" borderId="20" xfId="0" applyNumberFormat="1" applyFont="1" applyFill="1" applyBorder="1" applyAlignment="1" applyProtection="1">
      <alignment horizontal="center"/>
      <protection locked="0"/>
    </xf>
    <xf numFmtId="193" fontId="6" fillId="0" borderId="20" xfId="0" applyNumberFormat="1" applyFont="1" applyFill="1" applyBorder="1" applyAlignment="1" applyProtection="1">
      <alignment horizontal="center"/>
      <protection locked="0"/>
    </xf>
    <xf numFmtId="199" fontId="6" fillId="0" borderId="20" xfId="0" applyNumberFormat="1" applyFont="1" applyFill="1" applyBorder="1" applyAlignment="1" applyProtection="1">
      <alignment horizontal="center"/>
      <protection locked="0"/>
    </xf>
    <xf numFmtId="201" fontId="6" fillId="0" borderId="21" xfId="0" applyNumberFormat="1" applyFont="1" applyFill="1" applyBorder="1" applyAlignment="1" applyProtection="1">
      <alignment horizontal="center"/>
      <protection locked="0"/>
    </xf>
    <xf numFmtId="0" fontId="6" fillId="0" borderId="21" xfId="0" applyFont="1" applyFill="1" applyBorder="1" applyAlignment="1" applyProtection="1">
      <alignment horizontal="center"/>
      <protection locked="0"/>
    </xf>
    <xf numFmtId="2" fontId="6" fillId="0" borderId="21" xfId="0" applyNumberFormat="1" applyFont="1" applyFill="1" applyBorder="1" applyAlignment="1" applyProtection="1">
      <alignment horizontal="center"/>
      <protection locked="0"/>
    </xf>
    <xf numFmtId="201" fontId="6" fillId="0" borderId="22" xfId="0" applyNumberFormat="1" applyFont="1" applyFill="1" applyBorder="1" applyAlignment="1" applyProtection="1">
      <alignment horizontal="center"/>
      <protection locked="0"/>
    </xf>
    <xf numFmtId="197" fontId="6" fillId="0" borderId="22" xfId="0" applyNumberFormat="1" applyFont="1" applyFill="1" applyBorder="1" applyAlignment="1" applyProtection="1">
      <alignment horizontal="center"/>
      <protection locked="0"/>
    </xf>
    <xf numFmtId="2" fontId="6" fillId="0" borderId="22" xfId="0" applyNumberFormat="1" applyFont="1" applyFill="1" applyBorder="1" applyAlignment="1" applyProtection="1">
      <alignment horizontal="center"/>
      <protection locked="0"/>
    </xf>
    <xf numFmtId="2" fontId="6" fillId="0" borderId="23" xfId="0" applyNumberFormat="1" applyFont="1" applyFill="1" applyBorder="1" applyAlignment="1" applyProtection="1">
      <alignment horizontal="center"/>
      <protection locked="0"/>
    </xf>
    <xf numFmtId="2" fontId="6" fillId="0" borderId="24" xfId="0" applyNumberFormat="1" applyFont="1" applyFill="1" applyBorder="1" applyAlignment="1" applyProtection="1">
      <alignment horizontal="center"/>
      <protection locked="0"/>
    </xf>
    <xf numFmtId="2" fontId="6" fillId="0" borderId="25" xfId="0" applyNumberFormat="1" applyFont="1" applyFill="1" applyBorder="1" applyAlignment="1" applyProtection="1">
      <alignment horizontal="center"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76"/>
  <sheetViews>
    <sheetView tabSelected="1" zoomScaleSheetLayoutView="75" zoomScalePageLayoutView="0" workbookViewId="0" topLeftCell="A1">
      <selection activeCell="L7" sqref="L7"/>
    </sheetView>
  </sheetViews>
  <sheetFormatPr defaultColWidth="6.7109375" defaultRowHeight="12.75" customHeight="1"/>
  <cols>
    <col min="1" max="1" width="14.140625" style="14" customWidth="1"/>
    <col min="2" max="2" width="31.28125" style="17" customWidth="1"/>
    <col min="3" max="6" width="9.7109375" style="17" customWidth="1"/>
    <col min="7" max="7" width="9.421875" style="15" customWidth="1"/>
    <col min="8" max="8" width="9.7109375" style="15" customWidth="1"/>
    <col min="9" max="16384" width="6.7109375" style="16" customWidth="1"/>
  </cols>
  <sheetData>
    <row r="1" spans="1:8" s="4" customFormat="1" ht="13.5" thickBot="1">
      <c r="A1" s="8" t="s">
        <v>10</v>
      </c>
      <c r="B1" s="1"/>
      <c r="C1" s="1"/>
      <c r="D1" s="2"/>
      <c r="E1" s="2"/>
      <c r="F1" s="3" t="s">
        <v>9</v>
      </c>
      <c r="G1" s="20">
        <v>42422</v>
      </c>
      <c r="H1" s="20"/>
    </row>
    <row r="2" spans="1:8" s="4" customFormat="1" ht="13.5" thickBot="1">
      <c r="A2" s="8"/>
      <c r="B2" s="1"/>
      <c r="C2" s="1"/>
      <c r="D2" s="2"/>
      <c r="E2" s="2"/>
      <c r="F2" s="3" t="s">
        <v>11</v>
      </c>
      <c r="G2" s="21">
        <v>3</v>
      </c>
      <c r="H2" s="21"/>
    </row>
    <row r="3" spans="1:8" s="4" customFormat="1" ht="10.5" customHeight="1">
      <c r="A3" s="9"/>
      <c r="B3" s="5"/>
      <c r="C3" s="6"/>
      <c r="D3" s="6"/>
      <c r="E3" s="6"/>
      <c r="F3" s="6"/>
      <c r="G3" s="7" t="s">
        <v>0</v>
      </c>
      <c r="H3" s="10" t="s">
        <v>1</v>
      </c>
    </row>
    <row r="4" spans="1:8" s="4" customFormat="1" ht="10.5" customHeight="1" thickBot="1">
      <c r="A4" s="18" t="s">
        <v>2</v>
      </c>
      <c r="B4" s="19"/>
      <c r="C4" s="11" t="s">
        <v>3</v>
      </c>
      <c r="D4" s="11" t="s">
        <v>4</v>
      </c>
      <c r="E4" s="11" t="s">
        <v>5</v>
      </c>
      <c r="F4" s="11" t="s">
        <v>6</v>
      </c>
      <c r="G4" s="12" t="s">
        <v>7</v>
      </c>
      <c r="H4" s="13" t="s">
        <v>8</v>
      </c>
    </row>
    <row r="5" spans="1:8" ht="12.75" customHeight="1">
      <c r="A5" s="29" t="s">
        <v>12</v>
      </c>
      <c r="B5" s="29"/>
      <c r="C5" s="30"/>
      <c r="D5" s="30"/>
      <c r="E5" s="30"/>
      <c r="F5" s="30"/>
      <c r="G5" s="31"/>
      <c r="H5" s="35"/>
    </row>
    <row r="6" spans="1:8" ht="12.75" customHeight="1">
      <c r="A6" s="22">
        <v>45688</v>
      </c>
      <c r="B6" s="22"/>
      <c r="C6" s="26">
        <f>ROUND(1.91,5)</f>
        <v>1.91</v>
      </c>
      <c r="D6" s="26">
        <f>F6</f>
        <v>1.91</v>
      </c>
      <c r="E6" s="26">
        <f>F6</f>
        <v>1.91</v>
      </c>
      <c r="F6" s="26">
        <f>ROUND(1.91,5)</f>
        <v>1.91</v>
      </c>
      <c r="G6" s="24"/>
      <c r="H6" s="36"/>
    </row>
    <row r="7" spans="1:8" ht="12.75" customHeight="1">
      <c r="A7" s="22" t="s">
        <v>13</v>
      </c>
      <c r="B7" s="22"/>
      <c r="C7" s="23"/>
      <c r="D7" s="23"/>
      <c r="E7" s="23"/>
      <c r="F7" s="23"/>
      <c r="G7" s="24"/>
      <c r="H7" s="36"/>
    </row>
    <row r="8" spans="1:8" ht="12.75" customHeight="1">
      <c r="A8" s="22">
        <v>50436</v>
      </c>
      <c r="B8" s="22"/>
      <c r="C8" s="26">
        <f>ROUND(1.955,5)</f>
        <v>1.955</v>
      </c>
      <c r="D8" s="26">
        <f>F8</f>
        <v>1.955</v>
      </c>
      <c r="E8" s="26">
        <f>F8</f>
        <v>1.955</v>
      </c>
      <c r="F8" s="26">
        <f>ROUND(1.955,5)</f>
        <v>1.955</v>
      </c>
      <c r="G8" s="24"/>
      <c r="H8" s="36"/>
    </row>
    <row r="9" spans="1:8" ht="12.75" customHeight="1">
      <c r="A9" s="22" t="s">
        <v>14</v>
      </c>
      <c r="B9" s="22"/>
      <c r="C9" s="25"/>
      <c r="D9" s="25"/>
      <c r="E9" s="25"/>
      <c r="F9" s="25"/>
      <c r="G9" s="24"/>
      <c r="H9" s="36"/>
    </row>
    <row r="10" spans="1:8" ht="12.75" customHeight="1">
      <c r="A10" s="22">
        <v>55153</v>
      </c>
      <c r="B10" s="22"/>
      <c r="C10" s="26">
        <f>ROUND(2.03,5)</f>
        <v>2.03</v>
      </c>
      <c r="D10" s="26">
        <f>F10</f>
        <v>2.03</v>
      </c>
      <c r="E10" s="26">
        <f>F10</f>
        <v>2.03</v>
      </c>
      <c r="F10" s="26">
        <f>ROUND(2.03,5)</f>
        <v>2.03</v>
      </c>
      <c r="G10" s="24"/>
      <c r="H10" s="36"/>
    </row>
    <row r="11" spans="1:8" ht="12.75" customHeight="1">
      <c r="A11" s="22" t="s">
        <v>15</v>
      </c>
      <c r="B11" s="22"/>
      <c r="C11" s="25"/>
      <c r="D11" s="25"/>
      <c r="E11" s="25"/>
      <c r="F11" s="25"/>
      <c r="G11" s="24"/>
      <c r="H11" s="36"/>
    </row>
    <row r="12" spans="1:8" ht="12.75" customHeight="1">
      <c r="A12" s="22">
        <v>46875</v>
      </c>
      <c r="B12" s="22"/>
      <c r="C12" s="26">
        <f>ROUND(2.34,5)</f>
        <v>2.34</v>
      </c>
      <c r="D12" s="26">
        <f>F12</f>
        <v>2.34</v>
      </c>
      <c r="E12" s="26">
        <f>F12</f>
        <v>2.34</v>
      </c>
      <c r="F12" s="26">
        <f>ROUND(2.34,5)</f>
        <v>2.34</v>
      </c>
      <c r="G12" s="24"/>
      <c r="H12" s="36"/>
    </row>
    <row r="13" spans="1:8" ht="12.75" customHeight="1">
      <c r="A13" s="22" t="s">
        <v>16</v>
      </c>
      <c r="B13" s="22"/>
      <c r="C13" s="25"/>
      <c r="D13" s="25"/>
      <c r="E13" s="25"/>
      <c r="F13" s="25"/>
      <c r="G13" s="24"/>
      <c r="H13" s="36"/>
    </row>
    <row r="14" spans="1:8" ht="12.75" customHeight="1">
      <c r="A14" s="22">
        <v>48837</v>
      </c>
      <c r="B14" s="22"/>
      <c r="C14" s="26">
        <f>ROUND(10.66,5)</f>
        <v>10.66</v>
      </c>
      <c r="D14" s="26">
        <f>F14</f>
        <v>10.66</v>
      </c>
      <c r="E14" s="26">
        <f>F14</f>
        <v>10.66</v>
      </c>
      <c r="F14" s="26">
        <f>ROUND(10.66,5)</f>
        <v>10.66</v>
      </c>
      <c r="G14" s="24"/>
      <c r="H14" s="36"/>
    </row>
    <row r="15" spans="1:8" ht="12.75" customHeight="1">
      <c r="A15" s="22" t="s">
        <v>17</v>
      </c>
      <c r="B15" s="22"/>
      <c r="C15" s="25"/>
      <c r="D15" s="25"/>
      <c r="E15" s="25"/>
      <c r="F15" s="25"/>
      <c r="G15" s="24"/>
      <c r="H15" s="36"/>
    </row>
    <row r="16" spans="1:8" ht="12.75" customHeight="1">
      <c r="A16" s="22">
        <v>44985</v>
      </c>
      <c r="B16" s="22"/>
      <c r="C16" s="26">
        <f>ROUND(9.075,5)</f>
        <v>9.075</v>
      </c>
      <c r="D16" s="26">
        <f>F16</f>
        <v>9.075</v>
      </c>
      <c r="E16" s="26">
        <f>F16</f>
        <v>9.075</v>
      </c>
      <c r="F16" s="26">
        <f>ROUND(9.075,5)</f>
        <v>9.075</v>
      </c>
      <c r="G16" s="24"/>
      <c r="H16" s="36"/>
    </row>
    <row r="17" spans="1:8" ht="12.75" customHeight="1">
      <c r="A17" s="22" t="s">
        <v>18</v>
      </c>
      <c r="B17" s="22"/>
      <c r="C17" s="25"/>
      <c r="D17" s="25"/>
      <c r="E17" s="25"/>
      <c r="F17" s="25"/>
      <c r="G17" s="24"/>
      <c r="H17" s="36"/>
    </row>
    <row r="18" spans="1:8" ht="12.75" customHeight="1">
      <c r="A18" s="22">
        <v>46377</v>
      </c>
      <c r="B18" s="22"/>
      <c r="C18" s="27">
        <f>ROUND(9.18,3)</f>
        <v>9.18</v>
      </c>
      <c r="D18" s="27">
        <f>F18</f>
        <v>9.18</v>
      </c>
      <c r="E18" s="27">
        <f>F18</f>
        <v>9.18</v>
      </c>
      <c r="F18" s="27">
        <f>ROUND(9.18,3)</f>
        <v>9.18</v>
      </c>
      <c r="G18" s="24"/>
      <c r="H18" s="36"/>
    </row>
    <row r="19" spans="1:8" ht="12.75" customHeight="1">
      <c r="A19" s="22" t="s">
        <v>19</v>
      </c>
      <c r="B19" s="22"/>
      <c r="C19" s="25"/>
      <c r="D19" s="25"/>
      <c r="E19" s="25"/>
      <c r="F19" s="25"/>
      <c r="G19" s="24"/>
      <c r="H19" s="36"/>
    </row>
    <row r="20" spans="1:8" ht="12.75" customHeight="1">
      <c r="A20" s="22">
        <v>45267</v>
      </c>
      <c r="B20" s="22"/>
      <c r="C20" s="27">
        <f>ROUND(1.84,3)</f>
        <v>1.84</v>
      </c>
      <c r="D20" s="27">
        <f>F20</f>
        <v>1.84</v>
      </c>
      <c r="E20" s="27">
        <f>F20</f>
        <v>1.84</v>
      </c>
      <c r="F20" s="27">
        <f>ROUND(1.84,3)</f>
        <v>1.84</v>
      </c>
      <c r="G20" s="24"/>
      <c r="H20" s="36"/>
    </row>
    <row r="21" spans="1:8" ht="12.75" customHeight="1">
      <c r="A21" s="22" t="s">
        <v>20</v>
      </c>
      <c r="B21" s="22"/>
      <c r="C21" s="25"/>
      <c r="D21" s="25"/>
      <c r="E21" s="25"/>
      <c r="F21" s="25"/>
      <c r="G21" s="24"/>
      <c r="H21" s="36"/>
    </row>
    <row r="22" spans="1:8" ht="12.75" customHeight="1">
      <c r="A22" s="22">
        <v>48920</v>
      </c>
      <c r="B22" s="22"/>
      <c r="C22" s="27">
        <f>ROUND(1.91,3)</f>
        <v>1.91</v>
      </c>
      <c r="D22" s="27">
        <f>F22</f>
        <v>1.91</v>
      </c>
      <c r="E22" s="27">
        <f>F22</f>
        <v>1.91</v>
      </c>
      <c r="F22" s="27">
        <f>ROUND(1.91,3)</f>
        <v>1.91</v>
      </c>
      <c r="G22" s="24"/>
      <c r="H22" s="36"/>
    </row>
    <row r="23" spans="1:8" ht="12.75" customHeight="1">
      <c r="A23" s="22" t="s">
        <v>21</v>
      </c>
      <c r="B23" s="22"/>
      <c r="C23" s="25"/>
      <c r="D23" s="25"/>
      <c r="E23" s="25"/>
      <c r="F23" s="25"/>
      <c r="G23" s="24"/>
      <c r="H23" s="36"/>
    </row>
    <row r="24" spans="1:8" ht="12.75" customHeight="1">
      <c r="A24" s="22">
        <v>42993</v>
      </c>
      <c r="B24" s="22"/>
      <c r="C24" s="27">
        <f>ROUND(8.09,3)</f>
        <v>8.09</v>
      </c>
      <c r="D24" s="27">
        <f>F24</f>
        <v>8.09</v>
      </c>
      <c r="E24" s="27">
        <f>F24</f>
        <v>8.09</v>
      </c>
      <c r="F24" s="27">
        <f>ROUND(8.09,3)</f>
        <v>8.09</v>
      </c>
      <c r="G24" s="24"/>
      <c r="H24" s="36"/>
    </row>
    <row r="25" spans="1:8" ht="12.75" customHeight="1">
      <c r="A25" s="22" t="s">
        <v>22</v>
      </c>
      <c r="B25" s="22"/>
      <c r="C25" s="25"/>
      <c r="D25" s="25"/>
      <c r="E25" s="25"/>
      <c r="F25" s="25"/>
      <c r="G25" s="24"/>
      <c r="H25" s="36"/>
    </row>
    <row r="26" spans="1:8" ht="12.75" customHeight="1">
      <c r="A26" s="22">
        <v>43455</v>
      </c>
      <c r="B26" s="22"/>
      <c r="C26" s="27">
        <f>ROUND(8.48,3)</f>
        <v>8.48</v>
      </c>
      <c r="D26" s="27">
        <f>F26</f>
        <v>8.48</v>
      </c>
      <c r="E26" s="27">
        <f>F26</f>
        <v>8.48</v>
      </c>
      <c r="F26" s="27">
        <f>ROUND(8.48,3)</f>
        <v>8.48</v>
      </c>
      <c r="G26" s="24"/>
      <c r="H26" s="36"/>
    </row>
    <row r="27" spans="1:8" ht="12.75" customHeight="1">
      <c r="A27" s="22" t="s">
        <v>23</v>
      </c>
      <c r="B27" s="22"/>
      <c r="C27" s="25"/>
      <c r="D27" s="25"/>
      <c r="E27" s="25"/>
      <c r="F27" s="25"/>
      <c r="G27" s="24"/>
      <c r="H27" s="36"/>
    </row>
    <row r="28" spans="1:8" ht="12.75" customHeight="1">
      <c r="A28" s="22">
        <v>43845</v>
      </c>
      <c r="B28" s="22"/>
      <c r="C28" s="27">
        <f>ROUND(8.695,3)</f>
        <v>8.695</v>
      </c>
      <c r="D28" s="27">
        <f>F28</f>
        <v>8.695</v>
      </c>
      <c r="E28" s="27">
        <f>F28</f>
        <v>8.695</v>
      </c>
      <c r="F28" s="27">
        <f>ROUND(8.695,3)</f>
        <v>8.695</v>
      </c>
      <c r="G28" s="24"/>
      <c r="H28" s="36"/>
    </row>
    <row r="29" spans="1:8" ht="12.75" customHeight="1">
      <c r="A29" s="22" t="s">
        <v>24</v>
      </c>
      <c r="B29" s="22"/>
      <c r="C29" s="25"/>
      <c r="D29" s="25"/>
      <c r="E29" s="25"/>
      <c r="F29" s="25"/>
      <c r="G29" s="24"/>
      <c r="H29" s="36"/>
    </row>
    <row r="30" spans="1:8" ht="12.75" customHeight="1">
      <c r="A30" s="22">
        <v>44286</v>
      </c>
      <c r="B30" s="22"/>
      <c r="C30" s="27">
        <f>ROUND(8.855,3)</f>
        <v>8.855</v>
      </c>
      <c r="D30" s="27">
        <f>F30</f>
        <v>8.855</v>
      </c>
      <c r="E30" s="27">
        <f>F30</f>
        <v>8.855</v>
      </c>
      <c r="F30" s="27">
        <f>ROUND(8.855,3)</f>
        <v>8.855</v>
      </c>
      <c r="G30" s="24"/>
      <c r="H30" s="36"/>
    </row>
    <row r="31" spans="1:8" ht="12.75" customHeight="1">
      <c r="A31" s="22" t="s">
        <v>25</v>
      </c>
      <c r="B31" s="22"/>
      <c r="C31" s="23"/>
      <c r="D31" s="23"/>
      <c r="E31" s="23"/>
      <c r="F31" s="23"/>
      <c r="G31" s="24"/>
      <c r="H31" s="36"/>
    </row>
    <row r="32" spans="1:8" ht="12.75" customHeight="1">
      <c r="A32" s="22">
        <v>49765</v>
      </c>
      <c r="B32" s="22"/>
      <c r="C32" s="27">
        <f>ROUND(9.745,3)</f>
        <v>9.745</v>
      </c>
      <c r="D32" s="27">
        <f>F32</f>
        <v>9.745</v>
      </c>
      <c r="E32" s="27">
        <f>F32</f>
        <v>9.745</v>
      </c>
      <c r="F32" s="27">
        <f>ROUND(9.745,3)</f>
        <v>9.745</v>
      </c>
      <c r="G32" s="24"/>
      <c r="H32" s="36"/>
    </row>
    <row r="33" spans="1:8" ht="12.75" customHeight="1">
      <c r="A33" s="22" t="s">
        <v>26</v>
      </c>
      <c r="B33" s="22"/>
      <c r="C33" s="25"/>
      <c r="D33" s="25"/>
      <c r="E33" s="25"/>
      <c r="F33" s="25"/>
      <c r="G33" s="24"/>
      <c r="H33" s="36"/>
    </row>
    <row r="34" spans="1:8" ht="12.75" customHeight="1">
      <c r="A34" s="22">
        <v>46843</v>
      </c>
      <c r="B34" s="22"/>
      <c r="C34" s="27">
        <f>ROUND(1.865,3)</f>
        <v>1.865</v>
      </c>
      <c r="D34" s="27">
        <f>F34</f>
        <v>1.865</v>
      </c>
      <c r="E34" s="27">
        <f>F34</f>
        <v>1.865</v>
      </c>
      <c r="F34" s="27">
        <f>ROUND(1.865,3)</f>
        <v>1.865</v>
      </c>
      <c r="G34" s="24"/>
      <c r="H34" s="36"/>
    </row>
    <row r="35" spans="1:8" ht="12.75" customHeight="1">
      <c r="A35" s="22" t="s">
        <v>27</v>
      </c>
      <c r="B35" s="22"/>
      <c r="C35" s="23"/>
      <c r="D35" s="23"/>
      <c r="E35" s="23"/>
      <c r="F35" s="23"/>
      <c r="G35" s="24"/>
      <c r="H35" s="36"/>
    </row>
    <row r="36" spans="1:8" ht="12.75" customHeight="1">
      <c r="A36" s="22">
        <v>42766</v>
      </c>
      <c r="B36" s="22"/>
      <c r="C36" s="26">
        <f>ROUND(1.05,5)</f>
        <v>1.05</v>
      </c>
      <c r="D36" s="26">
        <f>F36</f>
        <v>1.05</v>
      </c>
      <c r="E36" s="26">
        <f>F36</f>
        <v>1.05</v>
      </c>
      <c r="F36" s="26">
        <f>ROUND(1.05,5)</f>
        <v>1.05</v>
      </c>
      <c r="G36" s="24"/>
      <c r="H36" s="36"/>
    </row>
    <row r="37" spans="1:8" ht="12.75" customHeight="1">
      <c r="A37" s="22" t="s">
        <v>28</v>
      </c>
      <c r="B37" s="22"/>
      <c r="C37" s="25"/>
      <c r="D37" s="25"/>
      <c r="E37" s="25"/>
      <c r="F37" s="25"/>
      <c r="G37" s="24"/>
      <c r="H37" s="36"/>
    </row>
    <row r="38" spans="1:8" ht="12.75" customHeight="1">
      <c r="A38" s="22">
        <v>44592</v>
      </c>
      <c r="B38" s="22"/>
      <c r="C38" s="27">
        <f>ROUND(1.835,3)</f>
        <v>1.835</v>
      </c>
      <c r="D38" s="27">
        <f>F38</f>
        <v>1.835</v>
      </c>
      <c r="E38" s="27">
        <f>F38</f>
        <v>1.835</v>
      </c>
      <c r="F38" s="27">
        <f>ROUND(1.835,3)</f>
        <v>1.835</v>
      </c>
      <c r="G38" s="24"/>
      <c r="H38" s="36"/>
    </row>
    <row r="39" spans="1:8" ht="12.75" customHeight="1">
      <c r="A39" s="22" t="s">
        <v>29</v>
      </c>
      <c r="B39" s="22"/>
      <c r="C39" s="23"/>
      <c r="D39" s="23"/>
      <c r="E39" s="23"/>
      <c r="F39" s="23"/>
      <c r="G39" s="24"/>
      <c r="H39" s="36"/>
    </row>
    <row r="40" spans="1:8" ht="12.75" customHeight="1">
      <c r="A40" s="22">
        <v>47907</v>
      </c>
      <c r="B40" s="22"/>
      <c r="C40" s="27">
        <f>ROUND(9.62,3)</f>
        <v>9.62</v>
      </c>
      <c r="D40" s="27">
        <f>F40</f>
        <v>9.62</v>
      </c>
      <c r="E40" s="27">
        <f>F40</f>
        <v>9.62</v>
      </c>
      <c r="F40" s="27">
        <f>ROUND(9.62,3)</f>
        <v>9.62</v>
      </c>
      <c r="G40" s="24"/>
      <c r="H40" s="36"/>
    </row>
    <row r="41" spans="1:8" ht="12.75" customHeight="1">
      <c r="A41" s="22" t="s">
        <v>30</v>
      </c>
      <c r="B41" s="22"/>
      <c r="C41" s="25"/>
      <c r="D41" s="25"/>
      <c r="E41" s="25"/>
      <c r="F41" s="25"/>
      <c r="G41" s="24"/>
      <c r="H41" s="36"/>
    </row>
    <row r="42" spans="1:8" ht="12.75" customHeight="1">
      <c r="A42" s="22">
        <v>42495</v>
      </c>
      <c r="B42" s="22"/>
      <c r="C42" s="26">
        <f>ROUND(1.91,5)</f>
        <v>1.91</v>
      </c>
      <c r="D42" s="26">
        <f>F42</f>
        <v>123.22112</v>
      </c>
      <c r="E42" s="26">
        <f>F42</f>
        <v>123.22112</v>
      </c>
      <c r="F42" s="26">
        <f>ROUND(123.22112,5)</f>
        <v>123.22112</v>
      </c>
      <c r="G42" s="24"/>
      <c r="H42" s="36"/>
    </row>
    <row r="43" spans="1:8" ht="12.75" customHeight="1">
      <c r="A43" s="22">
        <v>42586</v>
      </c>
      <c r="B43" s="22"/>
      <c r="C43" s="26">
        <f>ROUND(1.91,5)</f>
        <v>1.91</v>
      </c>
      <c r="D43" s="26">
        <f>F43</f>
        <v>124.35048</v>
      </c>
      <c r="E43" s="26">
        <f>F43</f>
        <v>124.35048</v>
      </c>
      <c r="F43" s="26">
        <f>ROUND(124.35048,5)</f>
        <v>124.35048</v>
      </c>
      <c r="G43" s="24"/>
      <c r="H43" s="36"/>
    </row>
    <row r="44" spans="1:8" ht="12.75" customHeight="1">
      <c r="A44" s="22">
        <v>42677</v>
      </c>
      <c r="B44" s="22"/>
      <c r="C44" s="26">
        <f>ROUND(1.91,5)</f>
        <v>1.91</v>
      </c>
      <c r="D44" s="26">
        <f>F44</f>
        <v>126.79307</v>
      </c>
      <c r="E44" s="26">
        <f>F44</f>
        <v>126.79307</v>
      </c>
      <c r="F44" s="26">
        <f>ROUND(126.79307,5)</f>
        <v>126.79307</v>
      </c>
      <c r="G44" s="24"/>
      <c r="H44" s="36"/>
    </row>
    <row r="45" spans="1:8" ht="12.75" customHeight="1">
      <c r="A45" s="22">
        <v>42768</v>
      </c>
      <c r="B45" s="22"/>
      <c r="C45" s="26">
        <f>ROUND(1.91,5)</f>
        <v>1.91</v>
      </c>
      <c r="D45" s="26">
        <f>F45</f>
        <v>129.51375</v>
      </c>
      <c r="E45" s="26">
        <f>F45</f>
        <v>129.51375</v>
      </c>
      <c r="F45" s="26">
        <f>ROUND(129.51375,5)</f>
        <v>129.51375</v>
      </c>
      <c r="G45" s="24"/>
      <c r="H45" s="36"/>
    </row>
    <row r="46" spans="1:8" ht="12.75" customHeight="1">
      <c r="A46" s="22">
        <v>42859</v>
      </c>
      <c r="B46" s="22"/>
      <c r="C46" s="26">
        <f>ROUND(1.91,5)</f>
        <v>1.91</v>
      </c>
      <c r="D46" s="26">
        <f>F46</f>
        <v>132.02731</v>
      </c>
      <c r="E46" s="26">
        <f>F46</f>
        <v>132.02731</v>
      </c>
      <c r="F46" s="26">
        <f>ROUND(132.02731,5)</f>
        <v>132.02731</v>
      </c>
      <c r="G46" s="24"/>
      <c r="H46" s="36"/>
    </row>
    <row r="47" spans="1:8" ht="12.75" customHeight="1">
      <c r="A47" s="22" t="s">
        <v>31</v>
      </c>
      <c r="B47" s="22"/>
      <c r="C47" s="23"/>
      <c r="D47" s="23"/>
      <c r="E47" s="23"/>
      <c r="F47" s="23"/>
      <c r="G47" s="24"/>
      <c r="H47" s="36"/>
    </row>
    <row r="48" spans="1:8" ht="12.75" customHeight="1">
      <c r="A48" s="22">
        <v>42495</v>
      </c>
      <c r="B48" s="22"/>
      <c r="C48" s="26">
        <f>ROUND(9.58,5)</f>
        <v>9.58</v>
      </c>
      <c r="D48" s="26">
        <f>F48</f>
        <v>9.63658</v>
      </c>
      <c r="E48" s="26">
        <f>F48</f>
        <v>9.63658</v>
      </c>
      <c r="F48" s="26">
        <f>ROUND(9.63658,5)</f>
        <v>9.63658</v>
      </c>
      <c r="G48" s="24"/>
      <c r="H48" s="36"/>
    </row>
    <row r="49" spans="1:8" ht="12.75" customHeight="1">
      <c r="A49" s="22">
        <v>42586</v>
      </c>
      <c r="B49" s="22"/>
      <c r="C49" s="26">
        <f>ROUND(9.58,5)</f>
        <v>9.58</v>
      </c>
      <c r="D49" s="26">
        <f>F49</f>
        <v>9.69998</v>
      </c>
      <c r="E49" s="26">
        <f>F49</f>
        <v>9.69998</v>
      </c>
      <c r="F49" s="26">
        <f>ROUND(9.69998,5)</f>
        <v>9.69998</v>
      </c>
      <c r="G49" s="24"/>
      <c r="H49" s="36"/>
    </row>
    <row r="50" spans="1:8" ht="12.75" customHeight="1">
      <c r="A50" s="22">
        <v>42677</v>
      </c>
      <c r="B50" s="22"/>
      <c r="C50" s="26">
        <f>ROUND(9.58,5)</f>
        <v>9.58</v>
      </c>
      <c r="D50" s="26">
        <f>F50</f>
        <v>9.75043</v>
      </c>
      <c r="E50" s="26">
        <f>F50</f>
        <v>9.75043</v>
      </c>
      <c r="F50" s="26">
        <f>ROUND(9.75043,5)</f>
        <v>9.75043</v>
      </c>
      <c r="G50" s="24"/>
      <c r="H50" s="36"/>
    </row>
    <row r="51" spans="1:8" ht="12.75" customHeight="1">
      <c r="A51" s="22">
        <v>42768</v>
      </c>
      <c r="B51" s="22"/>
      <c r="C51" s="26">
        <f>ROUND(9.58,5)</f>
        <v>9.58</v>
      </c>
      <c r="D51" s="26">
        <f>F51</f>
        <v>9.78335</v>
      </c>
      <c r="E51" s="26">
        <f>F51</f>
        <v>9.78335</v>
      </c>
      <c r="F51" s="26">
        <f>ROUND(9.78335,5)</f>
        <v>9.78335</v>
      </c>
      <c r="G51" s="24"/>
      <c r="H51" s="36"/>
    </row>
    <row r="52" spans="1:8" ht="12.75" customHeight="1">
      <c r="A52" s="22">
        <v>42859</v>
      </c>
      <c r="B52" s="22"/>
      <c r="C52" s="26">
        <f>ROUND(9.58,5)</f>
        <v>9.58</v>
      </c>
      <c r="D52" s="26">
        <f>F52</f>
        <v>9.85064</v>
      </c>
      <c r="E52" s="26">
        <f>F52</f>
        <v>9.85064</v>
      </c>
      <c r="F52" s="26">
        <f>ROUND(9.85064,5)</f>
        <v>9.85064</v>
      </c>
      <c r="G52" s="24"/>
      <c r="H52" s="36"/>
    </row>
    <row r="53" spans="1:8" ht="12.75" customHeight="1">
      <c r="A53" s="22" t="s">
        <v>32</v>
      </c>
      <c r="B53" s="22"/>
      <c r="C53" s="25"/>
      <c r="D53" s="25"/>
      <c r="E53" s="25"/>
      <c r="F53" s="25"/>
      <c r="G53" s="24"/>
      <c r="H53" s="36"/>
    </row>
    <row r="54" spans="1:8" ht="12.75" customHeight="1">
      <c r="A54" s="22">
        <v>42495</v>
      </c>
      <c r="B54" s="22"/>
      <c r="C54" s="26">
        <f>ROUND(9.725,5)</f>
        <v>9.725</v>
      </c>
      <c r="D54" s="26">
        <f>F54</f>
        <v>9.78119</v>
      </c>
      <c r="E54" s="26">
        <f>F54</f>
        <v>9.78119</v>
      </c>
      <c r="F54" s="26">
        <f>ROUND(9.78119,5)</f>
        <v>9.78119</v>
      </c>
      <c r="G54" s="24"/>
      <c r="H54" s="36"/>
    </row>
    <row r="55" spans="1:8" ht="12.75" customHeight="1">
      <c r="A55" s="22">
        <v>42586</v>
      </c>
      <c r="B55" s="22"/>
      <c r="C55" s="26">
        <f>ROUND(9.725,5)</f>
        <v>9.725</v>
      </c>
      <c r="D55" s="26">
        <f>F55</f>
        <v>9.84354</v>
      </c>
      <c r="E55" s="26">
        <f>F55</f>
        <v>9.84354</v>
      </c>
      <c r="F55" s="26">
        <f>ROUND(9.84354,5)</f>
        <v>9.84354</v>
      </c>
      <c r="G55" s="24"/>
      <c r="H55" s="36"/>
    </row>
    <row r="56" spans="1:8" ht="12.75" customHeight="1">
      <c r="A56" s="22">
        <v>42677</v>
      </c>
      <c r="B56" s="22"/>
      <c r="C56" s="26">
        <f>ROUND(9.725,5)</f>
        <v>9.725</v>
      </c>
      <c r="D56" s="26">
        <f>F56</f>
        <v>9.89838</v>
      </c>
      <c r="E56" s="26">
        <f>F56</f>
        <v>9.89838</v>
      </c>
      <c r="F56" s="26">
        <f>ROUND(9.89838,5)</f>
        <v>9.89838</v>
      </c>
      <c r="G56" s="24"/>
      <c r="H56" s="36"/>
    </row>
    <row r="57" spans="1:8" ht="12.75" customHeight="1">
      <c r="A57" s="22">
        <v>42768</v>
      </c>
      <c r="B57" s="22"/>
      <c r="C57" s="26">
        <f>ROUND(9.725,5)</f>
        <v>9.725</v>
      </c>
      <c r="D57" s="26">
        <f>F57</f>
        <v>9.93628</v>
      </c>
      <c r="E57" s="26">
        <f>F57</f>
        <v>9.93628</v>
      </c>
      <c r="F57" s="26">
        <f>ROUND(9.93628,5)</f>
        <v>9.93628</v>
      </c>
      <c r="G57" s="24"/>
      <c r="H57" s="36"/>
    </row>
    <row r="58" spans="1:8" ht="12.75" customHeight="1">
      <c r="A58" s="22">
        <v>42859</v>
      </c>
      <c r="B58" s="22"/>
      <c r="C58" s="26">
        <f>ROUND(9.725,5)</f>
        <v>9.725</v>
      </c>
      <c r="D58" s="26">
        <f>F58</f>
        <v>10.00242</v>
      </c>
      <c r="E58" s="26">
        <f>F58</f>
        <v>10.00242</v>
      </c>
      <c r="F58" s="26">
        <f>ROUND(10.00242,5)</f>
        <v>10.00242</v>
      </c>
      <c r="G58" s="24"/>
      <c r="H58" s="36"/>
    </row>
    <row r="59" spans="1:8" ht="12.75" customHeight="1">
      <c r="A59" s="22" t="s">
        <v>33</v>
      </c>
      <c r="B59" s="22"/>
      <c r="C59" s="25"/>
      <c r="D59" s="25"/>
      <c r="E59" s="25"/>
      <c r="F59" s="25"/>
      <c r="G59" s="24"/>
      <c r="H59" s="36"/>
    </row>
    <row r="60" spans="1:8" ht="12.75" customHeight="1">
      <c r="A60" s="22">
        <v>42495</v>
      </c>
      <c r="B60" s="22"/>
      <c r="C60" s="26">
        <f>ROUND(101.31205,5)</f>
        <v>101.31205</v>
      </c>
      <c r="D60" s="26">
        <f>F60</f>
        <v>102.84551</v>
      </c>
      <c r="E60" s="26">
        <f>F60</f>
        <v>102.84551</v>
      </c>
      <c r="F60" s="26">
        <f>ROUND(102.84551,5)</f>
        <v>102.84551</v>
      </c>
      <c r="G60" s="24"/>
      <c r="H60" s="36"/>
    </row>
    <row r="61" spans="1:8" ht="12.75" customHeight="1">
      <c r="A61" s="22">
        <v>42586</v>
      </c>
      <c r="B61" s="22"/>
      <c r="C61" s="26">
        <f>ROUND(101.31205,5)</f>
        <v>101.31205</v>
      </c>
      <c r="D61" s="26">
        <f>F61</f>
        <v>104.83259</v>
      </c>
      <c r="E61" s="26">
        <f>F61</f>
        <v>104.83259</v>
      </c>
      <c r="F61" s="26">
        <f>ROUND(104.83259,5)</f>
        <v>104.83259</v>
      </c>
      <c r="G61" s="24"/>
      <c r="H61" s="36"/>
    </row>
    <row r="62" spans="1:8" ht="12.75" customHeight="1">
      <c r="A62" s="22">
        <v>42677</v>
      </c>
      <c r="B62" s="22"/>
      <c r="C62" s="26">
        <f>ROUND(101.31205,5)</f>
        <v>101.31205</v>
      </c>
      <c r="D62" s="26">
        <f>F62</f>
        <v>105.87404</v>
      </c>
      <c r="E62" s="26">
        <f>F62</f>
        <v>105.87404</v>
      </c>
      <c r="F62" s="26">
        <f>ROUND(105.87404,5)</f>
        <v>105.87404</v>
      </c>
      <c r="G62" s="24"/>
      <c r="H62" s="36"/>
    </row>
    <row r="63" spans="1:8" ht="12.75" customHeight="1">
      <c r="A63" s="22">
        <v>42768</v>
      </c>
      <c r="B63" s="22"/>
      <c r="C63" s="26">
        <f>ROUND(101.31205,5)</f>
        <v>101.31205</v>
      </c>
      <c r="D63" s="26">
        <f>F63</f>
        <v>108.14596</v>
      </c>
      <c r="E63" s="26">
        <f>F63</f>
        <v>108.14596</v>
      </c>
      <c r="F63" s="26">
        <f>ROUND(108.14596,5)</f>
        <v>108.14596</v>
      </c>
      <c r="G63" s="24"/>
      <c r="H63" s="36"/>
    </row>
    <row r="64" spans="1:8" ht="12.75" customHeight="1">
      <c r="A64" s="22">
        <v>42859</v>
      </c>
      <c r="B64" s="22"/>
      <c r="C64" s="26">
        <f>ROUND(101.31205,5)</f>
        <v>101.31205</v>
      </c>
      <c r="D64" s="26">
        <f>F64</f>
        <v>110.24474</v>
      </c>
      <c r="E64" s="26">
        <f>F64</f>
        <v>110.24474</v>
      </c>
      <c r="F64" s="26">
        <f>ROUND(110.24474,5)</f>
        <v>110.24474</v>
      </c>
      <c r="G64" s="24"/>
      <c r="H64" s="36"/>
    </row>
    <row r="65" spans="1:8" ht="12.75" customHeight="1">
      <c r="A65" s="22" t="s">
        <v>34</v>
      </c>
      <c r="B65" s="22"/>
      <c r="C65" s="23"/>
      <c r="D65" s="23"/>
      <c r="E65" s="23"/>
      <c r="F65" s="23"/>
      <c r="G65" s="24"/>
      <c r="H65" s="36"/>
    </row>
    <row r="66" spans="1:8" ht="12.75" customHeight="1">
      <c r="A66" s="22">
        <v>42495</v>
      </c>
      <c r="B66" s="22"/>
      <c r="C66" s="26">
        <f>ROUND(9.875,5)</f>
        <v>9.875</v>
      </c>
      <c r="D66" s="26">
        <f>F66</f>
        <v>9.93106</v>
      </c>
      <c r="E66" s="26">
        <f>F66</f>
        <v>9.93106</v>
      </c>
      <c r="F66" s="26">
        <f>ROUND(9.93106,5)</f>
        <v>9.93106</v>
      </c>
      <c r="G66" s="24"/>
      <c r="H66" s="36"/>
    </row>
    <row r="67" spans="1:8" ht="12.75" customHeight="1">
      <c r="A67" s="22">
        <v>42586</v>
      </c>
      <c r="B67" s="22"/>
      <c r="C67" s="26">
        <f>ROUND(9.875,5)</f>
        <v>9.875</v>
      </c>
      <c r="D67" s="26">
        <f>F67</f>
        <v>9.99459</v>
      </c>
      <c r="E67" s="26">
        <f>F67</f>
        <v>9.99459</v>
      </c>
      <c r="F67" s="26">
        <f>ROUND(9.99459,5)</f>
        <v>9.99459</v>
      </c>
      <c r="G67" s="24"/>
      <c r="H67" s="36"/>
    </row>
    <row r="68" spans="1:8" ht="12.75" customHeight="1">
      <c r="A68" s="22">
        <v>42677</v>
      </c>
      <c r="B68" s="22"/>
      <c r="C68" s="26">
        <f>ROUND(9.875,5)</f>
        <v>9.875</v>
      </c>
      <c r="D68" s="26">
        <f>F68</f>
        <v>10.04624</v>
      </c>
      <c r="E68" s="26">
        <f>F68</f>
        <v>10.04624</v>
      </c>
      <c r="F68" s="26">
        <f>ROUND(10.04624,5)</f>
        <v>10.04624</v>
      </c>
      <c r="G68" s="24"/>
      <c r="H68" s="36"/>
    </row>
    <row r="69" spans="1:8" ht="12.75" customHeight="1">
      <c r="A69" s="22">
        <v>42768</v>
      </c>
      <c r="B69" s="22"/>
      <c r="C69" s="26">
        <f>ROUND(9.875,5)</f>
        <v>9.875</v>
      </c>
      <c r="D69" s="26">
        <f>F69</f>
        <v>10.08293</v>
      </c>
      <c r="E69" s="26">
        <f>F69</f>
        <v>10.08293</v>
      </c>
      <c r="F69" s="26">
        <f>ROUND(10.08293,5)</f>
        <v>10.08293</v>
      </c>
      <c r="G69" s="24"/>
      <c r="H69" s="36"/>
    </row>
    <row r="70" spans="1:8" ht="12.75" customHeight="1">
      <c r="A70" s="22">
        <v>42859</v>
      </c>
      <c r="B70" s="22"/>
      <c r="C70" s="26">
        <f>ROUND(9.875,5)</f>
        <v>9.875</v>
      </c>
      <c r="D70" s="26">
        <f>F70</f>
        <v>10.14912</v>
      </c>
      <c r="E70" s="26">
        <f>F70</f>
        <v>10.14912</v>
      </c>
      <c r="F70" s="26">
        <f>ROUND(10.14912,5)</f>
        <v>10.14912</v>
      </c>
      <c r="G70" s="24"/>
      <c r="H70" s="36"/>
    </row>
    <row r="71" spans="1:8" ht="12.75" customHeight="1">
      <c r="A71" s="22" t="s">
        <v>35</v>
      </c>
      <c r="B71" s="22"/>
      <c r="C71" s="23"/>
      <c r="D71" s="23"/>
      <c r="E71" s="23"/>
      <c r="F71" s="23"/>
      <c r="G71" s="24"/>
      <c r="H71" s="36"/>
    </row>
    <row r="72" spans="1:8" ht="12.75" customHeight="1">
      <c r="A72" s="22">
        <v>42495</v>
      </c>
      <c r="B72" s="22"/>
      <c r="C72" s="26">
        <f>ROUND(1.955,5)</f>
        <v>1.955</v>
      </c>
      <c r="D72" s="26">
        <f>F72</f>
        <v>128.74528</v>
      </c>
      <c r="E72" s="26">
        <f>F72</f>
        <v>128.74528</v>
      </c>
      <c r="F72" s="26">
        <f>ROUND(128.74528,5)</f>
        <v>128.74528</v>
      </c>
      <c r="G72" s="24"/>
      <c r="H72" s="36"/>
    </row>
    <row r="73" spans="1:8" ht="12.75" customHeight="1">
      <c r="A73" s="22">
        <v>42586</v>
      </c>
      <c r="B73" s="22"/>
      <c r="C73" s="26">
        <f>ROUND(1.955,5)</f>
        <v>1.955</v>
      </c>
      <c r="D73" s="26">
        <f>F73</f>
        <v>129.82486</v>
      </c>
      <c r="E73" s="26">
        <f>F73</f>
        <v>129.82486</v>
      </c>
      <c r="F73" s="26">
        <f>ROUND(129.82486,5)</f>
        <v>129.82486</v>
      </c>
      <c r="G73" s="24"/>
      <c r="H73" s="36"/>
    </row>
    <row r="74" spans="1:8" ht="12.75" customHeight="1">
      <c r="A74" s="22">
        <v>42677</v>
      </c>
      <c r="B74" s="22"/>
      <c r="C74" s="26">
        <f>ROUND(1.955,5)</f>
        <v>1.955</v>
      </c>
      <c r="D74" s="26">
        <f>F74</f>
        <v>132.37513</v>
      </c>
      <c r="E74" s="26">
        <f>F74</f>
        <v>132.37513</v>
      </c>
      <c r="F74" s="26">
        <f>ROUND(132.37513,5)</f>
        <v>132.37513</v>
      </c>
      <c r="G74" s="24"/>
      <c r="H74" s="36"/>
    </row>
    <row r="75" spans="1:8" ht="12.75" customHeight="1">
      <c r="A75" s="22">
        <v>42768</v>
      </c>
      <c r="B75" s="22"/>
      <c r="C75" s="26">
        <f>ROUND(1.955,5)</f>
        <v>1.955</v>
      </c>
      <c r="D75" s="26">
        <f>F75</f>
        <v>135.21566</v>
      </c>
      <c r="E75" s="26">
        <f>F75</f>
        <v>135.21566</v>
      </c>
      <c r="F75" s="26">
        <f>ROUND(135.21566,5)</f>
        <v>135.21566</v>
      </c>
      <c r="G75" s="24"/>
      <c r="H75" s="36"/>
    </row>
    <row r="76" spans="1:8" ht="12.75" customHeight="1">
      <c r="A76" s="22">
        <v>42859</v>
      </c>
      <c r="B76" s="22"/>
      <c r="C76" s="26">
        <f>ROUND(1.955,5)</f>
        <v>1.955</v>
      </c>
      <c r="D76" s="26">
        <f>F76</f>
        <v>137.83983</v>
      </c>
      <c r="E76" s="26">
        <f>F76</f>
        <v>137.83983</v>
      </c>
      <c r="F76" s="26">
        <f>ROUND(137.83983,5)</f>
        <v>137.83983</v>
      </c>
      <c r="G76" s="24"/>
      <c r="H76" s="36"/>
    </row>
    <row r="77" spans="1:8" ht="12.75" customHeight="1">
      <c r="A77" s="22" t="s">
        <v>36</v>
      </c>
      <c r="B77" s="22"/>
      <c r="C77" s="25"/>
      <c r="D77" s="25"/>
      <c r="E77" s="25"/>
      <c r="F77" s="25"/>
      <c r="G77" s="24"/>
      <c r="H77" s="36"/>
    </row>
    <row r="78" spans="1:8" ht="12.75" customHeight="1">
      <c r="A78" s="22">
        <v>42495</v>
      </c>
      <c r="B78" s="22"/>
      <c r="C78" s="26">
        <f>ROUND(9.955,5)</f>
        <v>9.955</v>
      </c>
      <c r="D78" s="26">
        <f>F78</f>
        <v>10.01166</v>
      </c>
      <c r="E78" s="26">
        <f>F78</f>
        <v>10.01166</v>
      </c>
      <c r="F78" s="26">
        <f>ROUND(10.01166,5)</f>
        <v>10.01166</v>
      </c>
      <c r="G78" s="24"/>
      <c r="H78" s="36"/>
    </row>
    <row r="79" spans="1:8" ht="12.75" customHeight="1">
      <c r="A79" s="22">
        <v>42586</v>
      </c>
      <c r="B79" s="22"/>
      <c r="C79" s="26">
        <f>ROUND(9.955,5)</f>
        <v>9.955</v>
      </c>
      <c r="D79" s="26">
        <f>F79</f>
        <v>10.07609</v>
      </c>
      <c r="E79" s="26">
        <f>F79</f>
        <v>10.07609</v>
      </c>
      <c r="F79" s="26">
        <f>ROUND(10.07609,5)</f>
        <v>10.07609</v>
      </c>
      <c r="G79" s="24"/>
      <c r="H79" s="36"/>
    </row>
    <row r="80" spans="1:8" ht="12.75" customHeight="1">
      <c r="A80" s="22">
        <v>42677</v>
      </c>
      <c r="B80" s="22"/>
      <c r="C80" s="26">
        <f>ROUND(9.955,5)</f>
        <v>9.955</v>
      </c>
      <c r="D80" s="26">
        <f>F80</f>
        <v>10.12877</v>
      </c>
      <c r="E80" s="26">
        <f>F80</f>
        <v>10.12877</v>
      </c>
      <c r="F80" s="26">
        <f>ROUND(10.12877,5)</f>
        <v>10.12877</v>
      </c>
      <c r="G80" s="24"/>
      <c r="H80" s="36"/>
    </row>
    <row r="81" spans="1:8" ht="12.75" customHeight="1">
      <c r="A81" s="22">
        <v>42768</v>
      </c>
      <c r="B81" s="22"/>
      <c r="C81" s="26">
        <f>ROUND(9.955,5)</f>
        <v>9.955</v>
      </c>
      <c r="D81" s="26">
        <f>F81</f>
        <v>10.16691</v>
      </c>
      <c r="E81" s="26">
        <f>F81</f>
        <v>10.16691</v>
      </c>
      <c r="F81" s="26">
        <f>ROUND(10.16691,5)</f>
        <v>10.16691</v>
      </c>
      <c r="G81" s="24"/>
      <c r="H81" s="36"/>
    </row>
    <row r="82" spans="1:8" ht="12.75" customHeight="1">
      <c r="A82" s="22">
        <v>42859</v>
      </c>
      <c r="B82" s="22"/>
      <c r="C82" s="26">
        <f>ROUND(9.955,5)</f>
        <v>9.955</v>
      </c>
      <c r="D82" s="26">
        <f>F82</f>
        <v>10.23389</v>
      </c>
      <c r="E82" s="26">
        <f>F82</f>
        <v>10.23389</v>
      </c>
      <c r="F82" s="26">
        <f>ROUND(10.23389,5)</f>
        <v>10.23389</v>
      </c>
      <c r="G82" s="24"/>
      <c r="H82" s="36"/>
    </row>
    <row r="83" spans="1:8" ht="12.75" customHeight="1">
      <c r="A83" s="22" t="s">
        <v>37</v>
      </c>
      <c r="B83" s="22"/>
      <c r="C83" s="28"/>
      <c r="D83" s="28"/>
      <c r="E83" s="28"/>
      <c r="F83" s="28"/>
      <c r="G83" s="24"/>
      <c r="H83" s="36"/>
    </row>
    <row r="84" spans="1:8" ht="12.75" customHeight="1">
      <c r="A84" s="22">
        <v>42495</v>
      </c>
      <c r="B84" s="22"/>
      <c r="C84" s="26">
        <f>ROUND(9.97,5)</f>
        <v>9.97</v>
      </c>
      <c r="D84" s="26">
        <f>F84</f>
        <v>10.02504</v>
      </c>
      <c r="E84" s="26">
        <f>F84</f>
        <v>10.02504</v>
      </c>
      <c r="F84" s="26">
        <f>ROUND(10.02504,5)</f>
        <v>10.02504</v>
      </c>
      <c r="G84" s="24"/>
      <c r="H84" s="36"/>
    </row>
    <row r="85" spans="1:8" ht="12.75" customHeight="1">
      <c r="A85" s="22">
        <v>42586</v>
      </c>
      <c r="B85" s="22"/>
      <c r="C85" s="26">
        <f>ROUND(9.97,5)</f>
        <v>9.97</v>
      </c>
      <c r="D85" s="26">
        <f>F85</f>
        <v>10.08759</v>
      </c>
      <c r="E85" s="26">
        <f>F85</f>
        <v>10.08759</v>
      </c>
      <c r="F85" s="26">
        <f>ROUND(10.08759,5)</f>
        <v>10.08759</v>
      </c>
      <c r="G85" s="24"/>
      <c r="H85" s="36"/>
    </row>
    <row r="86" spans="1:8" ht="12.75" customHeight="1">
      <c r="A86" s="22">
        <v>42677</v>
      </c>
      <c r="B86" s="22"/>
      <c r="C86" s="26">
        <f>ROUND(9.97,5)</f>
        <v>9.97</v>
      </c>
      <c r="D86" s="26">
        <f>F86</f>
        <v>10.1387</v>
      </c>
      <c r="E86" s="26">
        <f>F86</f>
        <v>10.1387</v>
      </c>
      <c r="F86" s="26">
        <f>ROUND(10.1387,5)</f>
        <v>10.1387</v>
      </c>
      <c r="G86" s="24"/>
      <c r="H86" s="36"/>
    </row>
    <row r="87" spans="1:8" ht="12.75" customHeight="1">
      <c r="A87" s="22">
        <v>42768</v>
      </c>
      <c r="B87" s="22"/>
      <c r="C87" s="26">
        <f>ROUND(9.97,5)</f>
        <v>9.97</v>
      </c>
      <c r="D87" s="26">
        <f>F87</f>
        <v>10.17573</v>
      </c>
      <c r="E87" s="26">
        <f>F87</f>
        <v>10.17573</v>
      </c>
      <c r="F87" s="26">
        <f>ROUND(10.17573,5)</f>
        <v>10.17573</v>
      </c>
      <c r="G87" s="24"/>
      <c r="H87" s="36"/>
    </row>
    <row r="88" spans="1:8" ht="12.75" customHeight="1">
      <c r="A88" s="22">
        <v>42859</v>
      </c>
      <c r="B88" s="22"/>
      <c r="C88" s="26">
        <f>ROUND(9.97,5)</f>
        <v>9.97</v>
      </c>
      <c r="D88" s="26">
        <f>F88</f>
        <v>10.2405</v>
      </c>
      <c r="E88" s="26">
        <f>F88</f>
        <v>10.2405</v>
      </c>
      <c r="F88" s="26">
        <f>ROUND(10.2405,5)</f>
        <v>10.2405</v>
      </c>
      <c r="G88" s="24"/>
      <c r="H88" s="36"/>
    </row>
    <row r="89" spans="1:8" ht="12.75" customHeight="1">
      <c r="A89" s="22" t="s">
        <v>38</v>
      </c>
      <c r="B89" s="22"/>
      <c r="C89" s="25"/>
      <c r="D89" s="25"/>
      <c r="E89" s="25"/>
      <c r="F89" s="25"/>
      <c r="G89" s="24"/>
      <c r="H89" s="36"/>
    </row>
    <row r="90" spans="1:8" ht="12.75" customHeight="1">
      <c r="A90" s="22">
        <v>42495</v>
      </c>
      <c r="B90" s="22"/>
      <c r="C90" s="26">
        <f>ROUND(127.06523,5)</f>
        <v>127.06523</v>
      </c>
      <c r="D90" s="26">
        <f>F90</f>
        <v>127.55556</v>
      </c>
      <c r="E90" s="26">
        <f>F90</f>
        <v>127.55556</v>
      </c>
      <c r="F90" s="26">
        <f>ROUND(127.55556,5)</f>
        <v>127.55556</v>
      </c>
      <c r="G90" s="24"/>
      <c r="H90" s="36"/>
    </row>
    <row r="91" spans="1:8" ht="12.75" customHeight="1">
      <c r="A91" s="22">
        <v>42586</v>
      </c>
      <c r="B91" s="22"/>
      <c r="C91" s="26">
        <f>ROUND(127.06523,5)</f>
        <v>127.06523</v>
      </c>
      <c r="D91" s="26">
        <f>F91</f>
        <v>130.02015</v>
      </c>
      <c r="E91" s="26">
        <f>F91</f>
        <v>130.02015</v>
      </c>
      <c r="F91" s="26">
        <f>ROUND(130.02015,5)</f>
        <v>130.02015</v>
      </c>
      <c r="G91" s="24"/>
      <c r="H91" s="36"/>
    </row>
    <row r="92" spans="1:8" ht="12.75" customHeight="1">
      <c r="A92" s="22">
        <v>42677</v>
      </c>
      <c r="B92" s="22"/>
      <c r="C92" s="26">
        <f>ROUND(127.06523,5)</f>
        <v>127.06523</v>
      </c>
      <c r="D92" s="26">
        <f>F92</f>
        <v>131.06784</v>
      </c>
      <c r="E92" s="26">
        <f>F92</f>
        <v>131.06784</v>
      </c>
      <c r="F92" s="26">
        <f>ROUND(131.06784,5)</f>
        <v>131.06784</v>
      </c>
      <c r="G92" s="24"/>
      <c r="H92" s="36"/>
    </row>
    <row r="93" spans="1:8" ht="12.75" customHeight="1">
      <c r="A93" s="22">
        <v>42768</v>
      </c>
      <c r="B93" s="22"/>
      <c r="C93" s="26">
        <f>ROUND(127.06523,5)</f>
        <v>127.06523</v>
      </c>
      <c r="D93" s="26">
        <f>F93</f>
        <v>133.88101</v>
      </c>
      <c r="E93" s="26">
        <f>F93</f>
        <v>133.88101</v>
      </c>
      <c r="F93" s="26">
        <f>ROUND(133.88101,5)</f>
        <v>133.88101</v>
      </c>
      <c r="G93" s="24"/>
      <c r="H93" s="36"/>
    </row>
    <row r="94" spans="1:8" ht="12.75" customHeight="1">
      <c r="A94" s="22">
        <v>42859</v>
      </c>
      <c r="B94" s="22"/>
      <c r="C94" s="26">
        <f>ROUND(127.06523,5)</f>
        <v>127.06523</v>
      </c>
      <c r="D94" s="26">
        <f>F94</f>
        <v>136.47881</v>
      </c>
      <c r="E94" s="26">
        <f>F94</f>
        <v>136.47881</v>
      </c>
      <c r="F94" s="26">
        <f>ROUND(136.47881,5)</f>
        <v>136.47881</v>
      </c>
      <c r="G94" s="24"/>
      <c r="H94" s="36"/>
    </row>
    <row r="95" spans="1:8" ht="12.75" customHeight="1">
      <c r="A95" s="22" t="s">
        <v>39</v>
      </c>
      <c r="B95" s="22"/>
      <c r="C95" s="25"/>
      <c r="D95" s="25"/>
      <c r="E95" s="25"/>
      <c r="F95" s="25"/>
      <c r="G95" s="24"/>
      <c r="H95" s="36"/>
    </row>
    <row r="96" spans="1:8" ht="12.75" customHeight="1">
      <c r="A96" s="22">
        <v>42495</v>
      </c>
      <c r="B96" s="22"/>
      <c r="C96" s="26">
        <f>ROUND(2.03,5)</f>
        <v>2.03</v>
      </c>
      <c r="D96" s="26">
        <f>F96</f>
        <v>136.78857</v>
      </c>
      <c r="E96" s="26">
        <f>F96</f>
        <v>136.78857</v>
      </c>
      <c r="F96" s="26">
        <f>ROUND(136.78857,5)</f>
        <v>136.78857</v>
      </c>
      <c r="G96" s="24"/>
      <c r="H96" s="36"/>
    </row>
    <row r="97" spans="1:8" ht="12.75" customHeight="1">
      <c r="A97" s="22">
        <v>42586</v>
      </c>
      <c r="B97" s="22"/>
      <c r="C97" s="26">
        <f>ROUND(2.03,5)</f>
        <v>2.03</v>
      </c>
      <c r="D97" s="26">
        <f>F97</f>
        <v>137.86368</v>
      </c>
      <c r="E97" s="26">
        <f>F97</f>
        <v>137.86368</v>
      </c>
      <c r="F97" s="26">
        <f>ROUND(137.86368,5)</f>
        <v>137.86368</v>
      </c>
      <c r="G97" s="24"/>
      <c r="H97" s="36"/>
    </row>
    <row r="98" spans="1:8" ht="12.75" customHeight="1">
      <c r="A98" s="22">
        <v>42677</v>
      </c>
      <c r="B98" s="22"/>
      <c r="C98" s="26">
        <f>ROUND(2.03,5)</f>
        <v>2.03</v>
      </c>
      <c r="D98" s="26">
        <f>F98</f>
        <v>140.57157</v>
      </c>
      <c r="E98" s="26">
        <f>F98</f>
        <v>140.57157</v>
      </c>
      <c r="F98" s="26">
        <f>ROUND(140.57157,5)</f>
        <v>140.57157</v>
      </c>
      <c r="G98" s="24"/>
      <c r="H98" s="36"/>
    </row>
    <row r="99" spans="1:8" ht="12.75" customHeight="1">
      <c r="A99" s="22">
        <v>42768</v>
      </c>
      <c r="B99" s="22"/>
      <c r="C99" s="26">
        <f>ROUND(2.03,5)</f>
        <v>2.03</v>
      </c>
      <c r="D99" s="26">
        <f>F99</f>
        <v>143.58781</v>
      </c>
      <c r="E99" s="26">
        <f>F99</f>
        <v>143.58781</v>
      </c>
      <c r="F99" s="26">
        <f>ROUND(143.58781,5)</f>
        <v>143.58781</v>
      </c>
      <c r="G99" s="24"/>
      <c r="H99" s="36"/>
    </row>
    <row r="100" spans="1:8" ht="12.75" customHeight="1">
      <c r="A100" s="22">
        <v>42859</v>
      </c>
      <c r="B100" s="22"/>
      <c r="C100" s="26">
        <f>ROUND(2.03,5)</f>
        <v>2.03</v>
      </c>
      <c r="D100" s="26">
        <f>F100</f>
        <v>146.37458</v>
      </c>
      <c r="E100" s="26">
        <f>F100</f>
        <v>146.37458</v>
      </c>
      <c r="F100" s="26">
        <f>ROUND(146.37458,5)</f>
        <v>146.37458</v>
      </c>
      <c r="G100" s="24"/>
      <c r="H100" s="36"/>
    </row>
    <row r="101" spans="1:8" ht="12.75" customHeight="1">
      <c r="A101" s="22" t="s">
        <v>40</v>
      </c>
      <c r="B101" s="22"/>
      <c r="C101" s="25"/>
      <c r="D101" s="25"/>
      <c r="E101" s="25"/>
      <c r="F101" s="25"/>
      <c r="G101" s="24"/>
      <c r="H101" s="36"/>
    </row>
    <row r="102" spans="1:8" ht="12.75" customHeight="1">
      <c r="A102" s="22">
        <v>42495</v>
      </c>
      <c r="B102" s="22"/>
      <c r="C102" s="26">
        <f>ROUND(2.34,5)</f>
        <v>2.34</v>
      </c>
      <c r="D102" s="26">
        <f>F102</f>
        <v>126.37786</v>
      </c>
      <c r="E102" s="26">
        <f>F102</f>
        <v>126.37786</v>
      </c>
      <c r="F102" s="26">
        <f>ROUND(126.37786,5)</f>
        <v>126.37786</v>
      </c>
      <c r="G102" s="24"/>
      <c r="H102" s="36"/>
    </row>
    <row r="103" spans="1:8" ht="12.75" customHeight="1">
      <c r="A103" s="22">
        <v>42586</v>
      </c>
      <c r="B103" s="22"/>
      <c r="C103" s="26">
        <f>ROUND(2.34,5)</f>
        <v>2.34</v>
      </c>
      <c r="D103" s="26">
        <f>F103</f>
        <v>128.81985</v>
      </c>
      <c r="E103" s="26">
        <f>F103</f>
        <v>128.81985</v>
      </c>
      <c r="F103" s="26">
        <f>ROUND(128.81985,5)</f>
        <v>128.81985</v>
      </c>
      <c r="G103" s="24"/>
      <c r="H103" s="36"/>
    </row>
    <row r="104" spans="1:8" ht="12.75" customHeight="1">
      <c r="A104" s="22">
        <v>42677</v>
      </c>
      <c r="B104" s="22"/>
      <c r="C104" s="26">
        <f>ROUND(2.34,5)</f>
        <v>2.34</v>
      </c>
      <c r="D104" s="26">
        <f>F104</f>
        <v>131.35009</v>
      </c>
      <c r="E104" s="26">
        <f>F104</f>
        <v>131.35009</v>
      </c>
      <c r="F104" s="26">
        <f>ROUND(131.35009,5)</f>
        <v>131.35009</v>
      </c>
      <c r="G104" s="24"/>
      <c r="H104" s="36"/>
    </row>
    <row r="105" spans="1:8" ht="12.75" customHeight="1">
      <c r="A105" s="22">
        <v>42768</v>
      </c>
      <c r="B105" s="22"/>
      <c r="C105" s="26">
        <f>ROUND(2.34,5)</f>
        <v>2.34</v>
      </c>
      <c r="D105" s="26">
        <f>F105</f>
        <v>134.16812</v>
      </c>
      <c r="E105" s="26">
        <f>F105</f>
        <v>134.16812</v>
      </c>
      <c r="F105" s="26">
        <f>ROUND(134.16812,5)</f>
        <v>134.16812</v>
      </c>
      <c r="G105" s="24"/>
      <c r="H105" s="36"/>
    </row>
    <row r="106" spans="1:8" ht="12.75" customHeight="1">
      <c r="A106" s="22">
        <v>42859</v>
      </c>
      <c r="B106" s="22"/>
      <c r="C106" s="26">
        <f>ROUND(2.34,5)</f>
        <v>2.34</v>
      </c>
      <c r="D106" s="26">
        <f>F106</f>
        <v>136.7723</v>
      </c>
      <c r="E106" s="26">
        <f>F106</f>
        <v>136.7723</v>
      </c>
      <c r="F106" s="26">
        <f>ROUND(136.7723,5)</f>
        <v>136.7723</v>
      </c>
      <c r="G106" s="24"/>
      <c r="H106" s="36"/>
    </row>
    <row r="107" spans="1:8" ht="12.75" customHeight="1">
      <c r="A107" s="22" t="s">
        <v>41</v>
      </c>
      <c r="B107" s="22"/>
      <c r="C107" s="25"/>
      <c r="D107" s="25"/>
      <c r="E107" s="25"/>
      <c r="F107" s="25"/>
      <c r="G107" s="24"/>
      <c r="H107" s="36"/>
    </row>
    <row r="108" spans="1:8" ht="12.75" customHeight="1">
      <c r="A108" s="22">
        <v>42495</v>
      </c>
      <c r="B108" s="22"/>
      <c r="C108" s="26">
        <f>ROUND(10.66,5)</f>
        <v>10.66</v>
      </c>
      <c r="D108" s="26">
        <f>F108</f>
        <v>10.7369</v>
      </c>
      <c r="E108" s="26">
        <f>F108</f>
        <v>10.7369</v>
      </c>
      <c r="F108" s="26">
        <f>ROUND(10.7369,5)</f>
        <v>10.7369</v>
      </c>
      <c r="G108" s="24"/>
      <c r="H108" s="36"/>
    </row>
    <row r="109" spans="1:8" ht="12.75" customHeight="1">
      <c r="A109" s="22">
        <v>42586</v>
      </c>
      <c r="B109" s="22"/>
      <c r="C109" s="26">
        <f>ROUND(10.66,5)</f>
        <v>10.66</v>
      </c>
      <c r="D109" s="26">
        <f>F109</f>
        <v>10.82562</v>
      </c>
      <c r="E109" s="26">
        <f>F109</f>
        <v>10.82562</v>
      </c>
      <c r="F109" s="26">
        <f>ROUND(10.82562,5)</f>
        <v>10.82562</v>
      </c>
      <c r="G109" s="24"/>
      <c r="H109" s="36"/>
    </row>
    <row r="110" spans="1:8" ht="12.75" customHeight="1">
      <c r="A110" s="22">
        <v>42677</v>
      </c>
      <c r="B110" s="22"/>
      <c r="C110" s="26">
        <f>ROUND(10.66,5)</f>
        <v>10.66</v>
      </c>
      <c r="D110" s="26">
        <f>F110</f>
        <v>10.90913</v>
      </c>
      <c r="E110" s="26">
        <f>F110</f>
        <v>10.90913</v>
      </c>
      <c r="F110" s="26">
        <f>ROUND(10.90913,5)</f>
        <v>10.90913</v>
      </c>
      <c r="G110" s="24"/>
      <c r="H110" s="36"/>
    </row>
    <row r="111" spans="1:8" ht="12.75" customHeight="1">
      <c r="A111" s="22">
        <v>42768</v>
      </c>
      <c r="B111" s="22"/>
      <c r="C111" s="26">
        <f>ROUND(10.66,5)</f>
        <v>10.66</v>
      </c>
      <c r="D111" s="26">
        <f>F111</f>
        <v>10.97921</v>
      </c>
      <c r="E111" s="26">
        <f>F111</f>
        <v>10.97921</v>
      </c>
      <c r="F111" s="26">
        <f>ROUND(10.97921,5)</f>
        <v>10.97921</v>
      </c>
      <c r="G111" s="24"/>
      <c r="H111" s="36"/>
    </row>
    <row r="112" spans="1:8" ht="12.75" customHeight="1">
      <c r="A112" s="22">
        <v>42859</v>
      </c>
      <c r="B112" s="22"/>
      <c r="C112" s="26">
        <f>ROUND(10.66,5)</f>
        <v>10.66</v>
      </c>
      <c r="D112" s="26">
        <f>F112</f>
        <v>11.07527</v>
      </c>
      <c r="E112" s="26">
        <f>F112</f>
        <v>11.07527</v>
      </c>
      <c r="F112" s="26">
        <f>ROUND(11.07527,5)</f>
        <v>11.07527</v>
      </c>
      <c r="G112" s="24"/>
      <c r="H112" s="36"/>
    </row>
    <row r="113" spans="1:8" ht="12.75" customHeight="1">
      <c r="A113" s="22" t="s">
        <v>42</v>
      </c>
      <c r="B113" s="22"/>
      <c r="C113" s="25"/>
      <c r="D113" s="25"/>
      <c r="E113" s="25"/>
      <c r="F113" s="25"/>
      <c r="G113" s="24"/>
      <c r="H113" s="36"/>
    </row>
    <row r="114" spans="1:8" ht="12.75" customHeight="1">
      <c r="A114" s="22">
        <v>42495</v>
      </c>
      <c r="B114" s="22"/>
      <c r="C114" s="26">
        <f>ROUND(10.795,5)</f>
        <v>10.795</v>
      </c>
      <c r="D114" s="26">
        <f>F114</f>
        <v>10.8724</v>
      </c>
      <c r="E114" s="26">
        <f>F114</f>
        <v>10.8724</v>
      </c>
      <c r="F114" s="26">
        <f>ROUND(10.8724,5)</f>
        <v>10.8724</v>
      </c>
      <c r="G114" s="24"/>
      <c r="H114" s="36"/>
    </row>
    <row r="115" spans="1:8" ht="12.75" customHeight="1">
      <c r="A115" s="22">
        <v>42586</v>
      </c>
      <c r="B115" s="22"/>
      <c r="C115" s="26">
        <f>ROUND(10.795,5)</f>
        <v>10.795</v>
      </c>
      <c r="D115" s="26">
        <f>F115</f>
        <v>10.9603</v>
      </c>
      <c r="E115" s="26">
        <f>F115</f>
        <v>10.9603</v>
      </c>
      <c r="F115" s="26">
        <f>ROUND(10.9603,5)</f>
        <v>10.9603</v>
      </c>
      <c r="G115" s="24"/>
      <c r="H115" s="36"/>
    </row>
    <row r="116" spans="1:8" ht="12.75" customHeight="1">
      <c r="A116" s="22">
        <v>42677</v>
      </c>
      <c r="B116" s="22"/>
      <c r="C116" s="26">
        <f>ROUND(10.795,5)</f>
        <v>10.795</v>
      </c>
      <c r="D116" s="26">
        <f>F116</f>
        <v>11.04239</v>
      </c>
      <c r="E116" s="26">
        <f>F116</f>
        <v>11.04239</v>
      </c>
      <c r="F116" s="26">
        <f>ROUND(11.04239,5)</f>
        <v>11.04239</v>
      </c>
      <c r="G116" s="24"/>
      <c r="H116" s="36"/>
    </row>
    <row r="117" spans="1:8" ht="12.75" customHeight="1">
      <c r="A117" s="22">
        <v>42768</v>
      </c>
      <c r="B117" s="22"/>
      <c r="C117" s="26">
        <f>ROUND(10.795,5)</f>
        <v>10.795</v>
      </c>
      <c r="D117" s="26">
        <f>F117</f>
        <v>11.10908</v>
      </c>
      <c r="E117" s="26">
        <f>F117</f>
        <v>11.10908</v>
      </c>
      <c r="F117" s="26">
        <f>ROUND(11.10908,5)</f>
        <v>11.10908</v>
      </c>
      <c r="G117" s="24"/>
      <c r="H117" s="36"/>
    </row>
    <row r="118" spans="1:8" ht="12.75" customHeight="1">
      <c r="A118" s="22">
        <v>42859</v>
      </c>
      <c r="B118" s="22"/>
      <c r="C118" s="26">
        <f>ROUND(10.795,5)</f>
        <v>10.795</v>
      </c>
      <c r="D118" s="26">
        <f>F118</f>
        <v>11.20478</v>
      </c>
      <c r="E118" s="26">
        <f>F118</f>
        <v>11.20478</v>
      </c>
      <c r="F118" s="26">
        <f>ROUND(11.20478,5)</f>
        <v>11.20478</v>
      </c>
      <c r="G118" s="24"/>
      <c r="H118" s="36"/>
    </row>
    <row r="119" spans="1:8" ht="12.75" customHeight="1">
      <c r="A119" s="22" t="s">
        <v>43</v>
      </c>
      <c r="B119" s="22"/>
      <c r="C119" s="23"/>
      <c r="D119" s="23"/>
      <c r="E119" s="23"/>
      <c r="F119" s="23"/>
      <c r="G119" s="24"/>
      <c r="H119" s="36"/>
    </row>
    <row r="120" spans="1:8" ht="12.75" customHeight="1">
      <c r="A120" s="22">
        <v>42495</v>
      </c>
      <c r="B120" s="22"/>
      <c r="C120" s="26">
        <f>ROUND(147.96737,5)</f>
        <v>147.96737</v>
      </c>
      <c r="D120" s="26">
        <f>F120</f>
        <v>150.20709</v>
      </c>
      <c r="E120" s="26">
        <f>F120</f>
        <v>150.20709</v>
      </c>
      <c r="F120" s="26">
        <f>ROUND(150.20709,5)</f>
        <v>150.20709</v>
      </c>
      <c r="G120" s="24"/>
      <c r="H120" s="36"/>
    </row>
    <row r="121" spans="1:8" ht="12.75" customHeight="1">
      <c r="A121" s="22">
        <v>42586</v>
      </c>
      <c r="B121" s="22"/>
      <c r="C121" s="26">
        <f>ROUND(147.96737,5)</f>
        <v>147.96737</v>
      </c>
      <c r="D121" s="26">
        <f>F121</f>
        <v>150.99164</v>
      </c>
      <c r="E121" s="26">
        <f>F121</f>
        <v>150.99164</v>
      </c>
      <c r="F121" s="26">
        <f>ROUND(150.99164,5)</f>
        <v>150.99164</v>
      </c>
      <c r="G121" s="24"/>
      <c r="H121" s="36"/>
    </row>
    <row r="122" spans="1:8" ht="12.75" customHeight="1">
      <c r="A122" s="22" t="s">
        <v>44</v>
      </c>
      <c r="B122" s="22"/>
      <c r="C122" s="23"/>
      <c r="D122" s="23"/>
      <c r="E122" s="23"/>
      <c r="F122" s="23"/>
      <c r="G122" s="24"/>
      <c r="H122" s="36"/>
    </row>
    <row r="123" spans="1:8" ht="12.75" customHeight="1">
      <c r="A123" s="22">
        <v>42495</v>
      </c>
      <c r="B123" s="22"/>
      <c r="C123" s="26">
        <f>ROUND(9.075,5)</f>
        <v>9.075</v>
      </c>
      <c r="D123" s="26">
        <f>F123</f>
        <v>9.13545</v>
      </c>
      <c r="E123" s="26">
        <f>F123</f>
        <v>9.13545</v>
      </c>
      <c r="F123" s="26">
        <f>ROUND(9.13545,5)</f>
        <v>9.13545</v>
      </c>
      <c r="G123" s="24"/>
      <c r="H123" s="36"/>
    </row>
    <row r="124" spans="1:8" ht="12.75" customHeight="1">
      <c r="A124" s="22">
        <v>42586</v>
      </c>
      <c r="B124" s="22"/>
      <c r="C124" s="26">
        <f>ROUND(9.075,5)</f>
        <v>9.075</v>
      </c>
      <c r="D124" s="26">
        <f>F124</f>
        <v>9.20117</v>
      </c>
      <c r="E124" s="26">
        <f>F124</f>
        <v>9.20117</v>
      </c>
      <c r="F124" s="26">
        <f>ROUND(9.20117,5)</f>
        <v>9.20117</v>
      </c>
      <c r="G124" s="24"/>
      <c r="H124" s="36"/>
    </row>
    <row r="125" spans="1:8" ht="12.75" customHeight="1">
      <c r="A125" s="22">
        <v>42677</v>
      </c>
      <c r="B125" s="22"/>
      <c r="C125" s="26">
        <f>ROUND(9.075,5)</f>
        <v>9.075</v>
      </c>
      <c r="D125" s="26">
        <f>F125</f>
        <v>9.26187</v>
      </c>
      <c r="E125" s="26">
        <f>F125</f>
        <v>9.26187</v>
      </c>
      <c r="F125" s="26">
        <f>ROUND(9.26187,5)</f>
        <v>9.26187</v>
      </c>
      <c r="G125" s="24"/>
      <c r="H125" s="36"/>
    </row>
    <row r="126" spans="1:8" ht="12.75" customHeight="1">
      <c r="A126" s="22">
        <v>42768</v>
      </c>
      <c r="B126" s="22"/>
      <c r="C126" s="26">
        <f>ROUND(9.075,5)</f>
        <v>9.075</v>
      </c>
      <c r="D126" s="26">
        <f>F126</f>
        <v>9.29681</v>
      </c>
      <c r="E126" s="26">
        <f>F126</f>
        <v>9.29681</v>
      </c>
      <c r="F126" s="26">
        <f>ROUND(9.29681,5)</f>
        <v>9.29681</v>
      </c>
      <c r="G126" s="24"/>
      <c r="H126" s="36"/>
    </row>
    <row r="127" spans="1:8" ht="12.75" customHeight="1">
      <c r="A127" s="22">
        <v>42859</v>
      </c>
      <c r="B127" s="22"/>
      <c r="C127" s="26">
        <f>ROUND(9.075,5)</f>
        <v>9.075</v>
      </c>
      <c r="D127" s="26">
        <f>F127</f>
        <v>9.37508</v>
      </c>
      <c r="E127" s="26">
        <f>F127</f>
        <v>9.37508</v>
      </c>
      <c r="F127" s="26">
        <f>ROUND(9.37508,5)</f>
        <v>9.37508</v>
      </c>
      <c r="G127" s="24"/>
      <c r="H127" s="36"/>
    </row>
    <row r="128" spans="1:8" ht="12.75" customHeight="1">
      <c r="A128" s="22" t="s">
        <v>45</v>
      </c>
      <c r="B128" s="22"/>
      <c r="C128" s="23"/>
      <c r="D128" s="23"/>
      <c r="E128" s="23"/>
      <c r="F128" s="23"/>
      <c r="G128" s="24"/>
      <c r="H128" s="36"/>
    </row>
    <row r="129" spans="1:8" ht="12.75" customHeight="1">
      <c r="A129" s="22">
        <v>42495</v>
      </c>
      <c r="B129" s="22"/>
      <c r="C129" s="26">
        <f>ROUND(9.805,5)</f>
        <v>9.805</v>
      </c>
      <c r="D129" s="26">
        <f>F129</f>
        <v>9.85747</v>
      </c>
      <c r="E129" s="26">
        <f>F129</f>
        <v>9.85747</v>
      </c>
      <c r="F129" s="26">
        <f>ROUND(9.85747,5)</f>
        <v>9.85747</v>
      </c>
      <c r="G129" s="24"/>
      <c r="H129" s="36"/>
    </row>
    <row r="130" spans="1:8" ht="12.75" customHeight="1">
      <c r="A130" s="22">
        <v>42586</v>
      </c>
      <c r="B130" s="22"/>
      <c r="C130" s="26">
        <f>ROUND(9.805,5)</f>
        <v>9.805</v>
      </c>
      <c r="D130" s="26">
        <f>F130</f>
        <v>9.91653</v>
      </c>
      <c r="E130" s="26">
        <f>F130</f>
        <v>9.91653</v>
      </c>
      <c r="F130" s="26">
        <f>ROUND(9.91653,5)</f>
        <v>9.91653</v>
      </c>
      <c r="G130" s="24"/>
      <c r="H130" s="36"/>
    </row>
    <row r="131" spans="1:8" ht="12.75" customHeight="1">
      <c r="A131" s="22">
        <v>42677</v>
      </c>
      <c r="B131" s="22"/>
      <c r="C131" s="26">
        <f>ROUND(9.805,5)</f>
        <v>9.805</v>
      </c>
      <c r="D131" s="26">
        <f>F131</f>
        <v>9.97138</v>
      </c>
      <c r="E131" s="26">
        <f>F131</f>
        <v>9.97138</v>
      </c>
      <c r="F131" s="26">
        <f>ROUND(9.97138,5)</f>
        <v>9.97138</v>
      </c>
      <c r="G131" s="24"/>
      <c r="H131" s="36"/>
    </row>
    <row r="132" spans="1:8" ht="12.75" customHeight="1">
      <c r="A132" s="22">
        <v>42768</v>
      </c>
      <c r="B132" s="22"/>
      <c r="C132" s="26">
        <f>ROUND(9.805,5)</f>
        <v>9.805</v>
      </c>
      <c r="D132" s="26">
        <f>F132</f>
        <v>10.01167</v>
      </c>
      <c r="E132" s="26">
        <f>F132</f>
        <v>10.01167</v>
      </c>
      <c r="F132" s="26">
        <f>ROUND(10.01167,5)</f>
        <v>10.01167</v>
      </c>
      <c r="G132" s="24"/>
      <c r="H132" s="36"/>
    </row>
    <row r="133" spans="1:8" ht="12.75" customHeight="1">
      <c r="A133" s="22">
        <v>42859</v>
      </c>
      <c r="B133" s="22"/>
      <c r="C133" s="26">
        <f>ROUND(9.805,5)</f>
        <v>9.805</v>
      </c>
      <c r="D133" s="26">
        <f>F133</f>
        <v>10.07483</v>
      </c>
      <c r="E133" s="26">
        <f>F133</f>
        <v>10.07483</v>
      </c>
      <c r="F133" s="26">
        <f>ROUND(10.07483,5)</f>
        <v>10.07483</v>
      </c>
      <c r="G133" s="24"/>
      <c r="H133" s="36"/>
    </row>
    <row r="134" spans="1:8" ht="12.75" customHeight="1">
      <c r="A134" s="22" t="s">
        <v>46</v>
      </c>
      <c r="B134" s="22"/>
      <c r="C134" s="23"/>
      <c r="D134" s="23"/>
      <c r="E134" s="23"/>
      <c r="F134" s="23"/>
      <c r="G134" s="24"/>
      <c r="H134" s="36"/>
    </row>
    <row r="135" spans="1:8" ht="12.75" customHeight="1">
      <c r="A135" s="22">
        <v>42495</v>
      </c>
      <c r="B135" s="22"/>
      <c r="C135" s="26">
        <f>ROUND(9.18,5)</f>
        <v>9.18</v>
      </c>
      <c r="D135" s="26">
        <f>F135</f>
        <v>9.23471</v>
      </c>
      <c r="E135" s="26">
        <f>F135</f>
        <v>9.23471</v>
      </c>
      <c r="F135" s="26">
        <f>ROUND(9.23471,5)</f>
        <v>9.23471</v>
      </c>
      <c r="G135" s="24"/>
      <c r="H135" s="36"/>
    </row>
    <row r="136" spans="1:8" ht="12.75" customHeight="1">
      <c r="A136" s="22">
        <v>42586</v>
      </c>
      <c r="B136" s="22"/>
      <c r="C136" s="26">
        <f>ROUND(9.18,5)</f>
        <v>9.18</v>
      </c>
      <c r="D136" s="26">
        <f>F136</f>
        <v>9.29341</v>
      </c>
      <c r="E136" s="26">
        <f>F136</f>
        <v>9.29341</v>
      </c>
      <c r="F136" s="26">
        <f>ROUND(9.29341,5)</f>
        <v>9.29341</v>
      </c>
      <c r="G136" s="24"/>
      <c r="H136" s="36"/>
    </row>
    <row r="137" spans="1:8" ht="12.75" customHeight="1">
      <c r="A137" s="22">
        <v>42677</v>
      </c>
      <c r="B137" s="22"/>
      <c r="C137" s="26">
        <f>ROUND(9.18,5)</f>
        <v>9.18</v>
      </c>
      <c r="D137" s="26">
        <f>F137</f>
        <v>9.34185</v>
      </c>
      <c r="E137" s="26">
        <f>F137</f>
        <v>9.34185</v>
      </c>
      <c r="F137" s="26">
        <f>ROUND(9.34185,5)</f>
        <v>9.34185</v>
      </c>
      <c r="G137" s="24"/>
      <c r="H137" s="36"/>
    </row>
    <row r="138" spans="1:8" ht="12.75" customHeight="1">
      <c r="A138" s="22">
        <v>42768</v>
      </c>
      <c r="B138" s="22"/>
      <c r="C138" s="26">
        <f>ROUND(9.18,5)</f>
        <v>9.18</v>
      </c>
      <c r="D138" s="26">
        <f>F138</f>
        <v>9.36798</v>
      </c>
      <c r="E138" s="26">
        <f>F138</f>
        <v>9.36798</v>
      </c>
      <c r="F138" s="26">
        <f>ROUND(9.36798,5)</f>
        <v>9.36798</v>
      </c>
      <c r="G138" s="24"/>
      <c r="H138" s="36"/>
    </row>
    <row r="139" spans="1:8" ht="12.75" customHeight="1">
      <c r="A139" s="22">
        <v>42859</v>
      </c>
      <c r="B139" s="22"/>
      <c r="C139" s="26">
        <f>ROUND(9.18,5)</f>
        <v>9.18</v>
      </c>
      <c r="D139" s="26">
        <f>F139</f>
        <v>9.43233</v>
      </c>
      <c r="E139" s="26">
        <f>F139</f>
        <v>9.43233</v>
      </c>
      <c r="F139" s="26">
        <f>ROUND(9.43233,5)</f>
        <v>9.43233</v>
      </c>
      <c r="G139" s="24"/>
      <c r="H139" s="36"/>
    </row>
    <row r="140" spans="1:8" ht="12.75" customHeight="1">
      <c r="A140" s="22" t="s">
        <v>47</v>
      </c>
      <c r="B140" s="22"/>
      <c r="C140" s="23"/>
      <c r="D140" s="23"/>
      <c r="E140" s="23"/>
      <c r="F140" s="23"/>
      <c r="G140" s="24"/>
      <c r="H140" s="36"/>
    </row>
    <row r="141" spans="1:8" ht="12.75" customHeight="1">
      <c r="A141" s="22">
        <v>42495</v>
      </c>
      <c r="B141" s="22"/>
      <c r="C141" s="26">
        <f>ROUND(1.84,5)</f>
        <v>1.84</v>
      </c>
      <c r="D141" s="26">
        <f>F141</f>
        <v>293.93191</v>
      </c>
      <c r="E141" s="26">
        <f>F141</f>
        <v>293.93191</v>
      </c>
      <c r="F141" s="26">
        <f>ROUND(293.93191,5)</f>
        <v>293.93191</v>
      </c>
      <c r="G141" s="24"/>
      <c r="H141" s="36"/>
    </row>
    <row r="142" spans="1:8" ht="12.75" customHeight="1">
      <c r="A142" s="22">
        <v>42586</v>
      </c>
      <c r="B142" s="22"/>
      <c r="C142" s="26">
        <f>ROUND(1.84,5)</f>
        <v>1.84</v>
      </c>
      <c r="D142" s="26">
        <f>F142</f>
        <v>293.11813</v>
      </c>
      <c r="E142" s="26">
        <f>F142</f>
        <v>293.11813</v>
      </c>
      <c r="F142" s="26">
        <f>ROUND(293.11813,5)</f>
        <v>293.11813</v>
      </c>
      <c r="G142" s="24"/>
      <c r="H142" s="36"/>
    </row>
    <row r="143" spans="1:8" ht="12.75" customHeight="1">
      <c r="A143" s="22">
        <v>42677</v>
      </c>
      <c r="B143" s="22"/>
      <c r="C143" s="26">
        <f>ROUND(1.84,5)</f>
        <v>1.84</v>
      </c>
      <c r="D143" s="26">
        <f>F143</f>
        <v>298.87638</v>
      </c>
      <c r="E143" s="26">
        <f>F143</f>
        <v>298.87638</v>
      </c>
      <c r="F143" s="26">
        <f>ROUND(298.87638,5)</f>
        <v>298.87638</v>
      </c>
      <c r="G143" s="24"/>
      <c r="H143" s="36"/>
    </row>
    <row r="144" spans="1:8" ht="12.75" customHeight="1">
      <c r="A144" s="22">
        <v>42768</v>
      </c>
      <c r="B144" s="22"/>
      <c r="C144" s="26">
        <f>ROUND(1.84,5)</f>
        <v>1.84</v>
      </c>
      <c r="D144" s="26">
        <f>F144</f>
        <v>305.29043</v>
      </c>
      <c r="E144" s="26">
        <f>F144</f>
        <v>305.29043</v>
      </c>
      <c r="F144" s="26">
        <f>ROUND(305.29043,5)</f>
        <v>305.29043</v>
      </c>
      <c r="G144" s="24"/>
      <c r="H144" s="36"/>
    </row>
    <row r="145" spans="1:8" ht="12.75" customHeight="1">
      <c r="A145" s="22">
        <v>42859</v>
      </c>
      <c r="B145" s="22"/>
      <c r="C145" s="26">
        <f>ROUND(1.84,5)</f>
        <v>1.84</v>
      </c>
      <c r="D145" s="26">
        <f>F145</f>
        <v>311.21482</v>
      </c>
      <c r="E145" s="26">
        <f>F145</f>
        <v>311.21482</v>
      </c>
      <c r="F145" s="26">
        <f>ROUND(311.21482,5)</f>
        <v>311.21482</v>
      </c>
      <c r="G145" s="24"/>
      <c r="H145" s="36"/>
    </row>
    <row r="146" spans="1:8" ht="12.75" customHeight="1">
      <c r="A146" s="22" t="s">
        <v>48</v>
      </c>
      <c r="B146" s="22"/>
      <c r="C146" s="23"/>
      <c r="D146" s="23"/>
      <c r="E146" s="23"/>
      <c r="F146" s="23"/>
      <c r="G146" s="24"/>
      <c r="H146" s="36"/>
    </row>
    <row r="147" spans="1:8" ht="12.75" customHeight="1">
      <c r="A147" s="22">
        <v>42495</v>
      </c>
      <c r="B147" s="22"/>
      <c r="C147" s="26">
        <f>ROUND(1.91,5)</f>
        <v>1.91</v>
      </c>
      <c r="D147" s="26">
        <f>F147</f>
        <v>241.5891</v>
      </c>
      <c r="E147" s="26">
        <f>F147</f>
        <v>241.5891</v>
      </c>
      <c r="F147" s="26">
        <f>ROUND(241.5891,5)</f>
        <v>241.5891</v>
      </c>
      <c r="G147" s="24"/>
      <c r="H147" s="36"/>
    </row>
    <row r="148" spans="1:8" ht="12.75" customHeight="1">
      <c r="A148" s="22">
        <v>42586</v>
      </c>
      <c r="B148" s="22"/>
      <c r="C148" s="26">
        <f>ROUND(1.91,5)</f>
        <v>1.91</v>
      </c>
      <c r="D148" s="26">
        <f>F148</f>
        <v>242.80804</v>
      </c>
      <c r="E148" s="26">
        <f>F148</f>
        <v>242.80804</v>
      </c>
      <c r="F148" s="26">
        <f>ROUND(242.80804,5)</f>
        <v>242.80804</v>
      </c>
      <c r="G148" s="24"/>
      <c r="H148" s="36"/>
    </row>
    <row r="149" spans="1:8" ht="12.75" customHeight="1">
      <c r="A149" s="22">
        <v>42677</v>
      </c>
      <c r="B149" s="22"/>
      <c r="C149" s="26">
        <f>ROUND(1.91,5)</f>
        <v>1.91</v>
      </c>
      <c r="D149" s="26">
        <f>F149</f>
        <v>247.57742</v>
      </c>
      <c r="E149" s="26">
        <f>F149</f>
        <v>247.57742</v>
      </c>
      <c r="F149" s="26">
        <f>ROUND(247.57742,5)</f>
        <v>247.57742</v>
      </c>
      <c r="G149" s="24"/>
      <c r="H149" s="36"/>
    </row>
    <row r="150" spans="1:8" ht="12.75" customHeight="1">
      <c r="A150" s="22">
        <v>42768</v>
      </c>
      <c r="B150" s="22"/>
      <c r="C150" s="26">
        <f>ROUND(1.91,5)</f>
        <v>1.91</v>
      </c>
      <c r="D150" s="26">
        <f>F150</f>
        <v>252.8897</v>
      </c>
      <c r="E150" s="26">
        <f>F150</f>
        <v>252.8897</v>
      </c>
      <c r="F150" s="26">
        <f>ROUND(252.8897,5)</f>
        <v>252.8897</v>
      </c>
      <c r="G150" s="24"/>
      <c r="H150" s="36"/>
    </row>
    <row r="151" spans="1:8" ht="12.75" customHeight="1">
      <c r="A151" s="22">
        <v>42859</v>
      </c>
      <c r="B151" s="22"/>
      <c r="C151" s="26">
        <f>ROUND(1.91,5)</f>
        <v>1.91</v>
      </c>
      <c r="D151" s="26">
        <f>F151</f>
        <v>257.7978</v>
      </c>
      <c r="E151" s="26">
        <f>F151</f>
        <v>257.7978</v>
      </c>
      <c r="F151" s="26">
        <f>ROUND(257.7978,5)</f>
        <v>257.7978</v>
      </c>
      <c r="G151" s="24"/>
      <c r="H151" s="36"/>
    </row>
    <row r="152" spans="1:8" ht="12.75" customHeight="1">
      <c r="A152" s="22" t="s">
        <v>49</v>
      </c>
      <c r="B152" s="22"/>
      <c r="C152" s="23"/>
      <c r="D152" s="23"/>
      <c r="E152" s="23"/>
      <c r="F152" s="23"/>
      <c r="G152" s="24"/>
      <c r="H152" s="36"/>
    </row>
    <row r="153" spans="1:8" ht="12.75" customHeight="1">
      <c r="A153" s="22">
        <v>42495</v>
      </c>
      <c r="B153" s="22"/>
      <c r="C153" s="26">
        <f>ROUND(8.09,5)</f>
        <v>8.09</v>
      </c>
      <c r="D153" s="26">
        <f>F153</f>
        <v>8.19227</v>
      </c>
      <c r="E153" s="26">
        <f>F153</f>
        <v>8.19227</v>
      </c>
      <c r="F153" s="26">
        <f>ROUND(8.19227,5)</f>
        <v>8.19227</v>
      </c>
      <c r="G153" s="24"/>
      <c r="H153" s="36"/>
    </row>
    <row r="154" spans="1:8" ht="12.75" customHeight="1">
      <c r="A154" s="22">
        <v>42586</v>
      </c>
      <c r="B154" s="22"/>
      <c r="C154" s="26">
        <f>ROUND(8.09,5)</f>
        <v>8.09</v>
      </c>
      <c r="D154" s="26">
        <f>F154</f>
        <v>8.294</v>
      </c>
      <c r="E154" s="26">
        <f>F154</f>
        <v>8.294</v>
      </c>
      <c r="F154" s="26">
        <f>ROUND(8.294,5)</f>
        <v>8.294</v>
      </c>
      <c r="G154" s="24"/>
      <c r="H154" s="36"/>
    </row>
    <row r="155" spans="1:8" ht="12.75" customHeight="1">
      <c r="A155" s="22">
        <v>42677</v>
      </c>
      <c r="B155" s="22"/>
      <c r="C155" s="26">
        <f>ROUND(8.09,5)</f>
        <v>8.09</v>
      </c>
      <c r="D155" s="26">
        <f>F155</f>
        <v>8.38111</v>
      </c>
      <c r="E155" s="26">
        <f>F155</f>
        <v>8.38111</v>
      </c>
      <c r="F155" s="26">
        <f>ROUND(8.38111,5)</f>
        <v>8.38111</v>
      </c>
      <c r="G155" s="24"/>
      <c r="H155" s="36"/>
    </row>
    <row r="156" spans="1:8" ht="12.75" customHeight="1">
      <c r="A156" s="22">
        <v>42768</v>
      </c>
      <c r="B156" s="22"/>
      <c r="C156" s="26">
        <f>ROUND(8.09,5)</f>
        <v>8.09</v>
      </c>
      <c r="D156" s="26">
        <f>F156</f>
        <v>8.28263</v>
      </c>
      <c r="E156" s="26">
        <f>F156</f>
        <v>8.28263</v>
      </c>
      <c r="F156" s="26">
        <f>ROUND(8.28263,5)</f>
        <v>8.28263</v>
      </c>
      <c r="G156" s="24"/>
      <c r="H156" s="36"/>
    </row>
    <row r="157" spans="1:8" ht="12.75" customHeight="1">
      <c r="A157" s="22">
        <v>42859</v>
      </c>
      <c r="B157" s="22"/>
      <c r="C157" s="26">
        <f>ROUND(8.09,5)</f>
        <v>8.09</v>
      </c>
      <c r="D157" s="26">
        <f>F157</f>
        <v>8.49093</v>
      </c>
      <c r="E157" s="26">
        <f>F157</f>
        <v>8.49093</v>
      </c>
      <c r="F157" s="26">
        <f>ROUND(8.49093,5)</f>
        <v>8.49093</v>
      </c>
      <c r="G157" s="24"/>
      <c r="H157" s="36"/>
    </row>
    <row r="158" spans="1:8" ht="12.75" customHeight="1">
      <c r="A158" s="22" t="s">
        <v>50</v>
      </c>
      <c r="B158" s="22"/>
      <c r="C158" s="23"/>
      <c r="D158" s="23"/>
      <c r="E158" s="23"/>
      <c r="F158" s="23"/>
      <c r="G158" s="24"/>
      <c r="H158" s="36"/>
    </row>
    <row r="159" spans="1:8" ht="12.75" customHeight="1">
      <c r="A159" s="22">
        <v>42495</v>
      </c>
      <c r="B159" s="22"/>
      <c r="C159" s="26">
        <f>ROUND(8.48,5)</f>
        <v>8.48</v>
      </c>
      <c r="D159" s="26">
        <f>F159</f>
        <v>8.57195</v>
      </c>
      <c r="E159" s="26">
        <f>F159</f>
        <v>8.57195</v>
      </c>
      <c r="F159" s="26">
        <f>ROUND(8.57195,5)</f>
        <v>8.57195</v>
      </c>
      <c r="G159" s="24"/>
      <c r="H159" s="36"/>
    </row>
    <row r="160" spans="1:8" ht="12.75" customHeight="1">
      <c r="A160" s="22">
        <v>42586</v>
      </c>
      <c r="B160" s="22"/>
      <c r="C160" s="26">
        <f>ROUND(8.48,5)</f>
        <v>8.48</v>
      </c>
      <c r="D160" s="26">
        <f>F160</f>
        <v>8.67156</v>
      </c>
      <c r="E160" s="26">
        <f>F160</f>
        <v>8.67156</v>
      </c>
      <c r="F160" s="26">
        <f>ROUND(8.67156,5)</f>
        <v>8.67156</v>
      </c>
      <c r="G160" s="24"/>
      <c r="H160" s="36"/>
    </row>
    <row r="161" spans="1:8" ht="12.75" customHeight="1">
      <c r="A161" s="22">
        <v>42677</v>
      </c>
      <c r="B161" s="22"/>
      <c r="C161" s="26">
        <f>ROUND(8.48,5)</f>
        <v>8.48</v>
      </c>
      <c r="D161" s="26">
        <f>F161</f>
        <v>8.75193</v>
      </c>
      <c r="E161" s="26">
        <f>F161</f>
        <v>8.75193</v>
      </c>
      <c r="F161" s="26">
        <f>ROUND(8.75193,5)</f>
        <v>8.75193</v>
      </c>
      <c r="G161" s="24"/>
      <c r="H161" s="36"/>
    </row>
    <row r="162" spans="1:8" ht="12.75" customHeight="1">
      <c r="A162" s="22">
        <v>42768</v>
      </c>
      <c r="B162" s="22"/>
      <c r="C162" s="26">
        <f>ROUND(8.48,5)</f>
        <v>8.48</v>
      </c>
      <c r="D162" s="26">
        <f>F162</f>
        <v>8.76214</v>
      </c>
      <c r="E162" s="26">
        <f>F162</f>
        <v>8.76214</v>
      </c>
      <c r="F162" s="26">
        <f>ROUND(8.76214,5)</f>
        <v>8.76214</v>
      </c>
      <c r="G162" s="24"/>
      <c r="H162" s="36"/>
    </row>
    <row r="163" spans="1:8" ht="12.75" customHeight="1">
      <c r="A163" s="22">
        <v>42859</v>
      </c>
      <c r="B163" s="22"/>
      <c r="C163" s="26">
        <f>ROUND(8.48,5)</f>
        <v>8.48</v>
      </c>
      <c r="D163" s="26">
        <f>F163</f>
        <v>8.92394</v>
      </c>
      <c r="E163" s="26">
        <f>F163</f>
        <v>8.92394</v>
      </c>
      <c r="F163" s="26">
        <f>ROUND(8.92394,5)</f>
        <v>8.92394</v>
      </c>
      <c r="G163" s="24"/>
      <c r="H163" s="36"/>
    </row>
    <row r="164" spans="1:8" ht="12.75" customHeight="1">
      <c r="A164" s="22" t="s">
        <v>51</v>
      </c>
      <c r="B164" s="22"/>
      <c r="C164" s="23"/>
      <c r="D164" s="23"/>
      <c r="E164" s="23"/>
      <c r="F164" s="23"/>
      <c r="G164" s="24"/>
      <c r="H164" s="36"/>
    </row>
    <row r="165" spans="1:8" ht="12.75" customHeight="1">
      <c r="A165" s="22">
        <v>42495</v>
      </c>
      <c r="B165" s="22"/>
      <c r="C165" s="26">
        <f>ROUND(8.695,5)</f>
        <v>8.695</v>
      </c>
      <c r="D165" s="26">
        <f>F165</f>
        <v>8.77889</v>
      </c>
      <c r="E165" s="26">
        <f>F165</f>
        <v>8.77889</v>
      </c>
      <c r="F165" s="26">
        <f>ROUND(8.77889,5)</f>
        <v>8.77889</v>
      </c>
      <c r="G165" s="24"/>
      <c r="H165" s="36"/>
    </row>
    <row r="166" spans="1:8" ht="12.75" customHeight="1">
      <c r="A166" s="22">
        <v>42586</v>
      </c>
      <c r="B166" s="22"/>
      <c r="C166" s="26">
        <f>ROUND(8.695,5)</f>
        <v>8.695</v>
      </c>
      <c r="D166" s="26">
        <f>F166</f>
        <v>8.86947</v>
      </c>
      <c r="E166" s="26">
        <f>F166</f>
        <v>8.86947</v>
      </c>
      <c r="F166" s="26">
        <f>ROUND(8.86947,5)</f>
        <v>8.86947</v>
      </c>
      <c r="G166" s="24"/>
      <c r="H166" s="36"/>
    </row>
    <row r="167" spans="1:8" ht="12.75" customHeight="1">
      <c r="A167" s="22">
        <v>42677</v>
      </c>
      <c r="B167" s="22"/>
      <c r="C167" s="26">
        <f>ROUND(8.695,5)</f>
        <v>8.695</v>
      </c>
      <c r="D167" s="26">
        <f>F167</f>
        <v>8.93728</v>
      </c>
      <c r="E167" s="26">
        <f>F167</f>
        <v>8.93728</v>
      </c>
      <c r="F167" s="26">
        <f>ROUND(8.93728,5)</f>
        <v>8.93728</v>
      </c>
      <c r="G167" s="24"/>
      <c r="H167" s="36"/>
    </row>
    <row r="168" spans="1:8" ht="12.75" customHeight="1">
      <c r="A168" s="22">
        <v>42768</v>
      </c>
      <c r="B168" s="22"/>
      <c r="C168" s="26">
        <f>ROUND(8.695,5)</f>
        <v>8.695</v>
      </c>
      <c r="D168" s="26">
        <f>F168</f>
        <v>8.95849</v>
      </c>
      <c r="E168" s="26">
        <f>F168</f>
        <v>8.95849</v>
      </c>
      <c r="F168" s="26">
        <f>ROUND(8.95849,5)</f>
        <v>8.95849</v>
      </c>
      <c r="G168" s="24"/>
      <c r="H168" s="36"/>
    </row>
    <row r="169" spans="1:8" ht="12.75" customHeight="1">
      <c r="A169" s="22">
        <v>42859</v>
      </c>
      <c r="B169" s="22"/>
      <c r="C169" s="26">
        <f>ROUND(8.695,5)</f>
        <v>8.695</v>
      </c>
      <c r="D169" s="26">
        <f>F169</f>
        <v>9.08441</v>
      </c>
      <c r="E169" s="26">
        <f>F169</f>
        <v>9.08441</v>
      </c>
      <c r="F169" s="26">
        <f>ROUND(9.08441,5)</f>
        <v>9.08441</v>
      </c>
      <c r="G169" s="24"/>
      <c r="H169" s="36"/>
    </row>
    <row r="170" spans="1:8" ht="12.75" customHeight="1">
      <c r="A170" s="22" t="s">
        <v>52</v>
      </c>
      <c r="B170" s="22"/>
      <c r="C170" s="23"/>
      <c r="D170" s="23"/>
      <c r="E170" s="23"/>
      <c r="F170" s="23"/>
      <c r="G170" s="24"/>
      <c r="H170" s="36"/>
    </row>
    <row r="171" spans="1:8" ht="12.75" customHeight="1">
      <c r="A171" s="22">
        <v>42495</v>
      </c>
      <c r="B171" s="22"/>
      <c r="C171" s="26">
        <f>ROUND(8.855,5)</f>
        <v>8.855</v>
      </c>
      <c r="D171" s="26">
        <f>F171</f>
        <v>8.92616</v>
      </c>
      <c r="E171" s="26">
        <f>F171</f>
        <v>8.92616</v>
      </c>
      <c r="F171" s="26">
        <f>ROUND(8.92616,5)</f>
        <v>8.92616</v>
      </c>
      <c r="G171" s="24"/>
      <c r="H171" s="36"/>
    </row>
    <row r="172" spans="1:8" ht="12.75" customHeight="1">
      <c r="A172" s="22">
        <v>42586</v>
      </c>
      <c r="B172" s="22"/>
      <c r="C172" s="26">
        <f>ROUND(8.855,5)</f>
        <v>8.855</v>
      </c>
      <c r="D172" s="26">
        <f>F172</f>
        <v>9.00313</v>
      </c>
      <c r="E172" s="26">
        <f>F172</f>
        <v>9.00313</v>
      </c>
      <c r="F172" s="26">
        <f>ROUND(9.00313,5)</f>
        <v>9.00313</v>
      </c>
      <c r="G172" s="24"/>
      <c r="H172" s="36"/>
    </row>
    <row r="173" spans="1:8" ht="12.75" customHeight="1">
      <c r="A173" s="22">
        <v>42677</v>
      </c>
      <c r="B173" s="22"/>
      <c r="C173" s="26">
        <f>ROUND(8.855,5)</f>
        <v>8.855</v>
      </c>
      <c r="D173" s="26">
        <f>F173</f>
        <v>9.06799</v>
      </c>
      <c r="E173" s="26">
        <f>F173</f>
        <v>9.06799</v>
      </c>
      <c r="F173" s="26">
        <f>ROUND(9.06799,5)</f>
        <v>9.06799</v>
      </c>
      <c r="G173" s="24"/>
      <c r="H173" s="36"/>
    </row>
    <row r="174" spans="1:8" ht="12.75" customHeight="1">
      <c r="A174" s="22">
        <v>42768</v>
      </c>
      <c r="B174" s="22"/>
      <c r="C174" s="26">
        <f>ROUND(8.855,5)</f>
        <v>8.855</v>
      </c>
      <c r="D174" s="26">
        <f>F174</f>
        <v>9.0968</v>
      </c>
      <c r="E174" s="26">
        <f>F174</f>
        <v>9.0968</v>
      </c>
      <c r="F174" s="26">
        <f>ROUND(9.0968,5)</f>
        <v>9.0968</v>
      </c>
      <c r="G174" s="24"/>
      <c r="H174" s="36"/>
    </row>
    <row r="175" spans="1:8" ht="12.75" customHeight="1">
      <c r="A175" s="22">
        <v>42859</v>
      </c>
      <c r="B175" s="22"/>
      <c r="C175" s="26">
        <f>ROUND(8.855,5)</f>
        <v>8.855</v>
      </c>
      <c r="D175" s="26">
        <f>F175</f>
        <v>9.19219</v>
      </c>
      <c r="E175" s="26">
        <f>F175</f>
        <v>9.19219</v>
      </c>
      <c r="F175" s="26">
        <f>ROUND(9.19219,5)</f>
        <v>9.19219</v>
      </c>
      <c r="G175" s="24"/>
      <c r="H175" s="36"/>
    </row>
    <row r="176" spans="1:8" ht="12.75" customHeight="1">
      <c r="A176" s="22" t="s">
        <v>53</v>
      </c>
      <c r="B176" s="22"/>
      <c r="C176" s="23"/>
      <c r="D176" s="23"/>
      <c r="E176" s="23"/>
      <c r="F176" s="23"/>
      <c r="G176" s="24"/>
      <c r="H176" s="36"/>
    </row>
    <row r="177" spans="1:8" ht="12.75" customHeight="1">
      <c r="A177" s="22">
        <v>42495</v>
      </c>
      <c r="B177" s="22"/>
      <c r="C177" s="26">
        <f>ROUND(9.745,5)</f>
        <v>9.745</v>
      </c>
      <c r="D177" s="26">
        <f>F177</f>
        <v>9.79428</v>
      </c>
      <c r="E177" s="26">
        <f>F177</f>
        <v>9.79428</v>
      </c>
      <c r="F177" s="26">
        <f>ROUND(9.79428,5)</f>
        <v>9.79428</v>
      </c>
      <c r="G177" s="24"/>
      <c r="H177" s="36"/>
    </row>
    <row r="178" spans="1:8" ht="12.75" customHeight="1">
      <c r="A178" s="22">
        <v>42586</v>
      </c>
      <c r="B178" s="22"/>
      <c r="C178" s="26">
        <f>ROUND(9.745,5)</f>
        <v>9.745</v>
      </c>
      <c r="D178" s="26">
        <f>F178</f>
        <v>9.8487</v>
      </c>
      <c r="E178" s="26">
        <f>F178</f>
        <v>9.8487</v>
      </c>
      <c r="F178" s="26">
        <f>ROUND(9.8487,5)</f>
        <v>9.8487</v>
      </c>
      <c r="G178" s="24"/>
      <c r="H178" s="36"/>
    </row>
    <row r="179" spans="1:8" ht="12.75" customHeight="1">
      <c r="A179" s="22">
        <v>42677</v>
      </c>
      <c r="B179" s="22"/>
      <c r="C179" s="26">
        <f>ROUND(9.745,5)</f>
        <v>9.745</v>
      </c>
      <c r="D179" s="26">
        <f>F179</f>
        <v>9.89627</v>
      </c>
      <c r="E179" s="26">
        <f>F179</f>
        <v>9.89627</v>
      </c>
      <c r="F179" s="26">
        <f>ROUND(9.89627,5)</f>
        <v>9.89627</v>
      </c>
      <c r="G179" s="24"/>
      <c r="H179" s="36"/>
    </row>
    <row r="180" spans="1:8" ht="12.75" customHeight="1">
      <c r="A180" s="22">
        <v>42768</v>
      </c>
      <c r="B180" s="22"/>
      <c r="C180" s="26">
        <f>ROUND(9.745,5)</f>
        <v>9.745</v>
      </c>
      <c r="D180" s="26">
        <f>F180</f>
        <v>9.92893</v>
      </c>
      <c r="E180" s="26">
        <f>F180</f>
        <v>9.92893</v>
      </c>
      <c r="F180" s="26">
        <f>ROUND(9.92893,5)</f>
        <v>9.92893</v>
      </c>
      <c r="G180" s="24"/>
      <c r="H180" s="36"/>
    </row>
    <row r="181" spans="1:8" ht="12.75" customHeight="1">
      <c r="A181" s="22">
        <v>42859</v>
      </c>
      <c r="B181" s="22"/>
      <c r="C181" s="26">
        <f>ROUND(9.745,5)</f>
        <v>9.745</v>
      </c>
      <c r="D181" s="26">
        <f>F181</f>
        <v>9.98557</v>
      </c>
      <c r="E181" s="26">
        <f>F181</f>
        <v>9.98557</v>
      </c>
      <c r="F181" s="26">
        <f>ROUND(9.98557,5)</f>
        <v>9.98557</v>
      </c>
      <c r="G181" s="24"/>
      <c r="H181" s="36"/>
    </row>
    <row r="182" spans="1:8" ht="12.75" customHeight="1">
      <c r="A182" s="22" t="s">
        <v>54</v>
      </c>
      <c r="B182" s="22"/>
      <c r="C182" s="23"/>
      <c r="D182" s="23"/>
      <c r="E182" s="23"/>
      <c r="F182" s="23"/>
      <c r="G182" s="24"/>
      <c r="H182" s="36"/>
    </row>
    <row r="183" spans="1:8" ht="12.75" customHeight="1">
      <c r="A183" s="22">
        <v>42495</v>
      </c>
      <c r="B183" s="22"/>
      <c r="C183" s="26">
        <f>ROUND(1.865,5)</f>
        <v>1.865</v>
      </c>
      <c r="D183" s="26">
        <f>F183</f>
        <v>180.71212</v>
      </c>
      <c r="E183" s="26">
        <f>F183</f>
        <v>180.71212</v>
      </c>
      <c r="F183" s="26">
        <f>ROUND(180.71212,5)</f>
        <v>180.71212</v>
      </c>
      <c r="G183" s="24"/>
      <c r="H183" s="36"/>
    </row>
    <row r="184" spans="1:8" ht="12.75" customHeight="1">
      <c r="A184" s="22">
        <v>42586</v>
      </c>
      <c r="B184" s="22"/>
      <c r="C184" s="26">
        <f>ROUND(1.865,5)</f>
        <v>1.865</v>
      </c>
      <c r="D184" s="26">
        <f>F184</f>
        <v>184.20373</v>
      </c>
      <c r="E184" s="26">
        <f>F184</f>
        <v>184.20373</v>
      </c>
      <c r="F184" s="26">
        <f>ROUND(184.20373,5)</f>
        <v>184.20373</v>
      </c>
      <c r="G184" s="24"/>
      <c r="H184" s="36"/>
    </row>
    <row r="185" spans="1:8" ht="12.75" customHeight="1">
      <c r="A185" s="22">
        <v>42677</v>
      </c>
      <c r="B185" s="22"/>
      <c r="C185" s="26">
        <f>ROUND(1.865,5)</f>
        <v>1.865</v>
      </c>
      <c r="D185" s="26">
        <f>F185</f>
        <v>185.53853</v>
      </c>
      <c r="E185" s="26">
        <f>F185</f>
        <v>185.53853</v>
      </c>
      <c r="F185" s="26">
        <f>ROUND(185.53853,5)</f>
        <v>185.53853</v>
      </c>
      <c r="G185" s="24"/>
      <c r="H185" s="36"/>
    </row>
    <row r="186" spans="1:8" ht="12.75" customHeight="1">
      <c r="A186" s="22">
        <v>42768</v>
      </c>
      <c r="B186" s="22"/>
      <c r="C186" s="26">
        <f>ROUND(1.865,5)</f>
        <v>1.865</v>
      </c>
      <c r="D186" s="26">
        <f>F186</f>
        <v>189.521</v>
      </c>
      <c r="E186" s="26">
        <f>F186</f>
        <v>189.521</v>
      </c>
      <c r="F186" s="26">
        <f>ROUND(189.521,5)</f>
        <v>189.521</v>
      </c>
      <c r="G186" s="24"/>
      <c r="H186" s="36"/>
    </row>
    <row r="187" spans="1:8" ht="12.75" customHeight="1">
      <c r="A187" s="22">
        <v>42859</v>
      </c>
      <c r="B187" s="22"/>
      <c r="C187" s="26">
        <f>ROUND(1.865,5)</f>
        <v>1.865</v>
      </c>
      <c r="D187" s="26">
        <f>F187</f>
        <v>193.19832</v>
      </c>
      <c r="E187" s="26">
        <f>F187</f>
        <v>193.19832</v>
      </c>
      <c r="F187" s="26">
        <f>ROUND(193.19832,5)</f>
        <v>193.19832</v>
      </c>
      <c r="G187" s="24"/>
      <c r="H187" s="36"/>
    </row>
    <row r="188" spans="1:8" ht="12.75" customHeight="1">
      <c r="A188" s="22" t="s">
        <v>55</v>
      </c>
      <c r="B188" s="22"/>
      <c r="C188" s="23"/>
      <c r="D188" s="23"/>
      <c r="E188" s="23"/>
      <c r="F188" s="23"/>
      <c r="G188" s="24"/>
      <c r="H188" s="36"/>
    </row>
    <row r="189" spans="1:8" ht="12.75" customHeight="1">
      <c r="A189" s="22">
        <v>42495</v>
      </c>
      <c r="B189" s="22"/>
      <c r="C189" s="26">
        <f>ROUND(1.05,5)</f>
        <v>1.05</v>
      </c>
      <c r="D189" s="26">
        <f>F189</f>
        <v>137.70928</v>
      </c>
      <c r="E189" s="26">
        <f>F189</f>
        <v>137.70928</v>
      </c>
      <c r="F189" s="26">
        <f>ROUND(137.70928,5)</f>
        <v>137.70928</v>
      </c>
      <c r="G189" s="24"/>
      <c r="H189" s="36"/>
    </row>
    <row r="190" spans="1:8" ht="12.75" customHeight="1">
      <c r="A190" s="22">
        <v>42586</v>
      </c>
      <c r="B190" s="22"/>
      <c r="C190" s="26">
        <f>ROUND(1.05,5)</f>
        <v>1.05</v>
      </c>
      <c r="D190" s="26">
        <f>F190</f>
        <v>138.63282</v>
      </c>
      <c r="E190" s="26">
        <f>F190</f>
        <v>138.63282</v>
      </c>
      <c r="F190" s="26">
        <f>ROUND(138.63282,5)</f>
        <v>138.63282</v>
      </c>
      <c r="G190" s="24"/>
      <c r="H190" s="36"/>
    </row>
    <row r="191" spans="1:8" ht="12.75" customHeight="1">
      <c r="A191" s="22">
        <v>42677</v>
      </c>
      <c r="B191" s="22"/>
      <c r="C191" s="26">
        <f>ROUND(1.05,5)</f>
        <v>1.05</v>
      </c>
      <c r="D191" s="26">
        <f>F191</f>
        <v>141.35611</v>
      </c>
      <c r="E191" s="26">
        <f>F191</f>
        <v>141.35611</v>
      </c>
      <c r="F191" s="26">
        <f>ROUND(141.35611,5)</f>
        <v>141.35611</v>
      </c>
      <c r="G191" s="24"/>
      <c r="H191" s="36"/>
    </row>
    <row r="192" spans="1:8" ht="12.75" customHeight="1">
      <c r="A192" s="22">
        <v>42768</v>
      </c>
      <c r="B192" s="22"/>
      <c r="C192" s="26">
        <f>ROUND(1.05,5)</f>
        <v>1.05</v>
      </c>
      <c r="D192" s="26">
        <f>F192</f>
        <v>141.66256</v>
      </c>
      <c r="E192" s="26">
        <f>F192</f>
        <v>141.66256</v>
      </c>
      <c r="F192" s="26">
        <f>ROUND(141.66256,5)</f>
        <v>141.66256</v>
      </c>
      <c r="G192" s="24"/>
      <c r="H192" s="36"/>
    </row>
    <row r="193" spans="1:8" ht="12.75" customHeight="1">
      <c r="A193" s="22">
        <v>42859</v>
      </c>
      <c r="B193" s="22"/>
      <c r="C193" s="26">
        <f>ROUND(1.05,5)</f>
        <v>1.05</v>
      </c>
      <c r="D193" s="26">
        <f>F193</f>
        <v>141.66256</v>
      </c>
      <c r="E193" s="26">
        <f>F193</f>
        <v>141.66256</v>
      </c>
      <c r="F193" s="26">
        <f>ROUND(141.66256,5)</f>
        <v>141.66256</v>
      </c>
      <c r="G193" s="24"/>
      <c r="H193" s="36"/>
    </row>
    <row r="194" spans="1:8" ht="12.75" customHeight="1">
      <c r="A194" s="22" t="s">
        <v>56</v>
      </c>
      <c r="B194" s="22"/>
      <c r="C194" s="23"/>
      <c r="D194" s="23"/>
      <c r="E194" s="23"/>
      <c r="F194" s="23"/>
      <c r="G194" s="24"/>
      <c r="H194" s="36"/>
    </row>
    <row r="195" spans="1:8" ht="12.75" customHeight="1">
      <c r="A195" s="22">
        <v>42495</v>
      </c>
      <c r="B195" s="22"/>
      <c r="C195" s="26">
        <f>ROUND(1.835,5)</f>
        <v>1.835</v>
      </c>
      <c r="D195" s="26">
        <f>F195</f>
        <v>142.5498</v>
      </c>
      <c r="E195" s="26">
        <f>F195</f>
        <v>142.5498</v>
      </c>
      <c r="F195" s="26">
        <f>ROUND(142.5498,5)</f>
        <v>142.5498</v>
      </c>
      <c r="G195" s="24"/>
      <c r="H195" s="36"/>
    </row>
    <row r="196" spans="1:8" ht="12.75" customHeight="1">
      <c r="A196" s="22">
        <v>42586</v>
      </c>
      <c r="B196" s="22"/>
      <c r="C196" s="26">
        <f>ROUND(1.835,5)</f>
        <v>1.835</v>
      </c>
      <c r="D196" s="26">
        <f>F196</f>
        <v>143.39729</v>
      </c>
      <c r="E196" s="26">
        <f>F196</f>
        <v>143.39729</v>
      </c>
      <c r="F196" s="26">
        <f>ROUND(143.39729,5)</f>
        <v>143.39729</v>
      </c>
      <c r="G196" s="24"/>
      <c r="H196" s="36"/>
    </row>
    <row r="197" spans="1:8" ht="12.75" customHeight="1">
      <c r="A197" s="22">
        <v>42677</v>
      </c>
      <c r="B197" s="22"/>
      <c r="C197" s="26">
        <f>ROUND(1.835,5)</f>
        <v>1.835</v>
      </c>
      <c r="D197" s="26">
        <f>F197</f>
        <v>146.21423</v>
      </c>
      <c r="E197" s="26">
        <f>F197</f>
        <v>146.21423</v>
      </c>
      <c r="F197" s="26">
        <f>ROUND(146.21423,5)</f>
        <v>146.21423</v>
      </c>
      <c r="G197" s="24"/>
      <c r="H197" s="36"/>
    </row>
    <row r="198" spans="1:8" ht="12.75" customHeight="1">
      <c r="A198" s="22">
        <v>42768</v>
      </c>
      <c r="B198" s="22"/>
      <c r="C198" s="26">
        <f>ROUND(1.835,5)</f>
        <v>1.835</v>
      </c>
      <c r="D198" s="26">
        <f>F198</f>
        <v>149.35197</v>
      </c>
      <c r="E198" s="26">
        <f>F198</f>
        <v>149.35197</v>
      </c>
      <c r="F198" s="26">
        <f>ROUND(149.35197,5)</f>
        <v>149.35197</v>
      </c>
      <c r="G198" s="24"/>
      <c r="H198" s="36"/>
    </row>
    <row r="199" spans="1:8" ht="12.75" customHeight="1">
      <c r="A199" s="22">
        <v>42859</v>
      </c>
      <c r="B199" s="22"/>
      <c r="C199" s="26">
        <f>ROUND(1.835,5)</f>
        <v>1.835</v>
      </c>
      <c r="D199" s="26">
        <f>F199</f>
        <v>152.25032</v>
      </c>
      <c r="E199" s="26">
        <f>F199</f>
        <v>152.25032</v>
      </c>
      <c r="F199" s="26">
        <f>ROUND(152.25032,5)</f>
        <v>152.25032</v>
      </c>
      <c r="G199" s="24"/>
      <c r="H199" s="36"/>
    </row>
    <row r="200" spans="1:8" ht="12.75" customHeight="1">
      <c r="A200" s="22" t="s">
        <v>57</v>
      </c>
      <c r="B200" s="22"/>
      <c r="C200" s="23"/>
      <c r="D200" s="23"/>
      <c r="E200" s="23"/>
      <c r="F200" s="23"/>
      <c r="G200" s="24"/>
      <c r="H200" s="36"/>
    </row>
    <row r="201" spans="1:8" ht="12.75" customHeight="1">
      <c r="A201" s="22">
        <v>42495</v>
      </c>
      <c r="B201" s="22"/>
      <c r="C201" s="26">
        <f>ROUND(9.62,5)</f>
        <v>9.62</v>
      </c>
      <c r="D201" s="26">
        <f>F201</f>
        <v>9.67005</v>
      </c>
      <c r="E201" s="26">
        <f>F201</f>
        <v>9.67005</v>
      </c>
      <c r="F201" s="26">
        <f>ROUND(9.67005,5)</f>
        <v>9.67005</v>
      </c>
      <c r="G201" s="24"/>
      <c r="H201" s="36"/>
    </row>
    <row r="202" spans="1:8" ht="12.75" customHeight="1">
      <c r="A202" s="22">
        <v>42586</v>
      </c>
      <c r="B202" s="22"/>
      <c r="C202" s="26">
        <f>ROUND(9.62,5)</f>
        <v>9.62</v>
      </c>
      <c r="D202" s="26">
        <f>F202</f>
        <v>9.72573</v>
      </c>
      <c r="E202" s="26">
        <f>F202</f>
        <v>9.72573</v>
      </c>
      <c r="F202" s="26">
        <f>ROUND(9.72573,5)</f>
        <v>9.72573</v>
      </c>
      <c r="G202" s="24"/>
      <c r="H202" s="36"/>
    </row>
    <row r="203" spans="1:8" ht="12.75" customHeight="1">
      <c r="A203" s="22">
        <v>42677</v>
      </c>
      <c r="B203" s="22"/>
      <c r="C203" s="26">
        <f>ROUND(9.62,5)</f>
        <v>9.62</v>
      </c>
      <c r="D203" s="26">
        <f>F203</f>
        <v>9.77719</v>
      </c>
      <c r="E203" s="26">
        <f>F203</f>
        <v>9.77719</v>
      </c>
      <c r="F203" s="26">
        <f>ROUND(9.77719,5)</f>
        <v>9.77719</v>
      </c>
      <c r="G203" s="24"/>
      <c r="H203" s="36"/>
    </row>
    <row r="204" spans="1:8" ht="12.75" customHeight="1">
      <c r="A204" s="22">
        <v>42768</v>
      </c>
      <c r="B204" s="22"/>
      <c r="C204" s="26">
        <f>ROUND(9.62,5)</f>
        <v>9.62</v>
      </c>
      <c r="D204" s="26">
        <f>F204</f>
        <v>9.81328</v>
      </c>
      <c r="E204" s="26">
        <f>F204</f>
        <v>9.81328</v>
      </c>
      <c r="F204" s="26">
        <f>ROUND(9.81328,5)</f>
        <v>9.81328</v>
      </c>
      <c r="G204" s="24"/>
      <c r="H204" s="36"/>
    </row>
    <row r="205" spans="1:8" ht="12.75" customHeight="1">
      <c r="A205" s="22">
        <v>42859</v>
      </c>
      <c r="B205" s="22"/>
      <c r="C205" s="26">
        <f>ROUND(9.62,5)</f>
        <v>9.62</v>
      </c>
      <c r="D205" s="26">
        <f>F205</f>
        <v>9.8733</v>
      </c>
      <c r="E205" s="26">
        <f>F205</f>
        <v>9.8733</v>
      </c>
      <c r="F205" s="26">
        <f>ROUND(9.8733,5)</f>
        <v>9.8733</v>
      </c>
      <c r="G205" s="24"/>
      <c r="H205" s="36"/>
    </row>
    <row r="206" spans="1:8" ht="12.75" customHeight="1">
      <c r="A206" s="22" t="s">
        <v>58</v>
      </c>
      <c r="B206" s="22"/>
      <c r="C206" s="23"/>
      <c r="D206" s="23"/>
      <c r="E206" s="23"/>
      <c r="F206" s="23"/>
      <c r="G206" s="24"/>
      <c r="H206" s="36"/>
    </row>
    <row r="207" spans="1:8" ht="12.75" customHeight="1">
      <c r="A207" s="22">
        <v>42495</v>
      </c>
      <c r="B207" s="22"/>
      <c r="C207" s="26">
        <f>ROUND(9.86,5)</f>
        <v>9.86</v>
      </c>
      <c r="D207" s="26">
        <f>F207</f>
        <v>9.90723</v>
      </c>
      <c r="E207" s="26">
        <f>F207</f>
        <v>9.90723</v>
      </c>
      <c r="F207" s="26">
        <f>ROUND(9.90723,5)</f>
        <v>9.90723</v>
      </c>
      <c r="G207" s="24"/>
      <c r="H207" s="36"/>
    </row>
    <row r="208" spans="1:8" ht="12.75" customHeight="1">
      <c r="A208" s="22">
        <v>42586</v>
      </c>
      <c r="B208" s="22"/>
      <c r="C208" s="26">
        <f>ROUND(9.86,5)</f>
        <v>9.86</v>
      </c>
      <c r="D208" s="26">
        <f>F208</f>
        <v>9.96025</v>
      </c>
      <c r="E208" s="26">
        <f>F208</f>
        <v>9.96025</v>
      </c>
      <c r="F208" s="26">
        <f>ROUND(9.96025,5)</f>
        <v>9.96025</v>
      </c>
      <c r="G208" s="24"/>
      <c r="H208" s="36"/>
    </row>
    <row r="209" spans="1:8" ht="12.75" customHeight="1">
      <c r="A209" s="22">
        <v>42677</v>
      </c>
      <c r="B209" s="22"/>
      <c r="C209" s="26">
        <f>ROUND(9.86,5)</f>
        <v>9.86</v>
      </c>
      <c r="D209" s="26">
        <f>F209</f>
        <v>10.00934</v>
      </c>
      <c r="E209" s="26">
        <f>F209</f>
        <v>10.00934</v>
      </c>
      <c r="F209" s="26">
        <f>ROUND(10.00934,5)</f>
        <v>10.00934</v>
      </c>
      <c r="G209" s="24"/>
      <c r="H209" s="36"/>
    </row>
    <row r="210" spans="1:8" ht="12.75" customHeight="1">
      <c r="A210" s="22">
        <v>42768</v>
      </c>
      <c r="B210" s="22"/>
      <c r="C210" s="26">
        <f>ROUND(9.86,5)</f>
        <v>9.86</v>
      </c>
      <c r="D210" s="26">
        <f>F210</f>
        <v>10.04547</v>
      </c>
      <c r="E210" s="26">
        <f>F210</f>
        <v>10.04547</v>
      </c>
      <c r="F210" s="26">
        <f>ROUND(10.04547,5)</f>
        <v>10.04547</v>
      </c>
      <c r="G210" s="24"/>
      <c r="H210" s="36"/>
    </row>
    <row r="211" spans="1:8" ht="12.75" customHeight="1">
      <c r="A211" s="22">
        <v>42859</v>
      </c>
      <c r="B211" s="22"/>
      <c r="C211" s="26">
        <f>ROUND(9.86,5)</f>
        <v>9.86</v>
      </c>
      <c r="D211" s="26">
        <f>F211</f>
        <v>10.1013</v>
      </c>
      <c r="E211" s="26">
        <f>F211</f>
        <v>10.1013</v>
      </c>
      <c r="F211" s="26">
        <f>ROUND(10.1013,5)</f>
        <v>10.1013</v>
      </c>
      <c r="G211" s="24"/>
      <c r="H211" s="36"/>
    </row>
    <row r="212" spans="1:8" ht="12.75" customHeight="1">
      <c r="A212" s="22" t="s">
        <v>59</v>
      </c>
      <c r="B212" s="22"/>
      <c r="C212" s="23"/>
      <c r="D212" s="23"/>
      <c r="E212" s="23"/>
      <c r="F212" s="23"/>
      <c r="G212" s="24"/>
      <c r="H212" s="36"/>
    </row>
    <row r="213" spans="1:8" ht="12.75" customHeight="1">
      <c r="A213" s="22">
        <v>42495</v>
      </c>
      <c r="B213" s="22"/>
      <c r="C213" s="26">
        <f>ROUND(9.96,5)</f>
        <v>9.96</v>
      </c>
      <c r="D213" s="26">
        <f>F213</f>
        <v>10.01006</v>
      </c>
      <c r="E213" s="26">
        <f>F213</f>
        <v>10.01006</v>
      </c>
      <c r="F213" s="26">
        <f>ROUND(10.01006,5)</f>
        <v>10.01006</v>
      </c>
      <c r="G213" s="24"/>
      <c r="H213" s="36"/>
    </row>
    <row r="214" spans="1:8" ht="12.75" customHeight="1">
      <c r="A214" s="22">
        <v>42586</v>
      </c>
      <c r="B214" s="22"/>
      <c r="C214" s="26">
        <f>ROUND(9.96,5)</f>
        <v>9.96</v>
      </c>
      <c r="D214" s="26">
        <f>F214</f>
        <v>10.06668</v>
      </c>
      <c r="E214" s="26">
        <f>F214</f>
        <v>10.06668</v>
      </c>
      <c r="F214" s="26">
        <f>ROUND(10.06668,5)</f>
        <v>10.06668</v>
      </c>
      <c r="G214" s="24"/>
      <c r="H214" s="36"/>
    </row>
    <row r="215" spans="1:8" ht="12.75" customHeight="1">
      <c r="A215" s="22">
        <v>42677</v>
      </c>
      <c r="B215" s="22"/>
      <c r="C215" s="26">
        <f>ROUND(9.96,5)</f>
        <v>9.96</v>
      </c>
      <c r="D215" s="26">
        <f>F215</f>
        <v>10.11931</v>
      </c>
      <c r="E215" s="26">
        <f>F215</f>
        <v>10.11931</v>
      </c>
      <c r="F215" s="26">
        <f>ROUND(10.11931,5)</f>
        <v>10.11931</v>
      </c>
      <c r="G215" s="24"/>
      <c r="H215" s="36"/>
    </row>
    <row r="216" spans="1:8" ht="12.75" customHeight="1">
      <c r="A216" s="22">
        <v>42768</v>
      </c>
      <c r="B216" s="22"/>
      <c r="C216" s="26">
        <f>ROUND(9.96,5)</f>
        <v>9.96</v>
      </c>
      <c r="D216" s="26">
        <f>F216</f>
        <v>10.15896</v>
      </c>
      <c r="E216" s="26">
        <f>F216</f>
        <v>10.15896</v>
      </c>
      <c r="F216" s="26">
        <f>ROUND(10.15896,5)</f>
        <v>10.15896</v>
      </c>
      <c r="G216" s="24"/>
      <c r="H216" s="36"/>
    </row>
    <row r="217" spans="1:8" ht="12.75" customHeight="1">
      <c r="A217" s="22">
        <v>42859</v>
      </c>
      <c r="B217" s="22"/>
      <c r="C217" s="26">
        <f>ROUND(9.96,5)</f>
        <v>9.96</v>
      </c>
      <c r="D217" s="26">
        <f>F217</f>
        <v>10.21872</v>
      </c>
      <c r="E217" s="26">
        <f>F217</f>
        <v>10.21872</v>
      </c>
      <c r="F217" s="26">
        <f>ROUND(10.21872,5)</f>
        <v>10.21872</v>
      </c>
      <c r="G217" s="24"/>
      <c r="H217" s="36"/>
    </row>
    <row r="218" spans="1:8" ht="12.75" customHeight="1">
      <c r="A218" s="22" t="s">
        <v>60</v>
      </c>
      <c r="B218" s="22"/>
      <c r="C218" s="23"/>
      <c r="D218" s="23"/>
      <c r="E218" s="23"/>
      <c r="F218" s="23"/>
      <c r="G218" s="24"/>
      <c r="H218" s="36"/>
    </row>
    <row r="219" spans="1:8" ht="12.75" customHeight="1">
      <c r="A219" s="22">
        <v>42424</v>
      </c>
      <c r="B219" s="22"/>
      <c r="C219" s="25">
        <f>ROUND(16.78425099,4)</f>
        <v>16.7843</v>
      </c>
      <c r="D219" s="25">
        <f>F219</f>
        <v>16.7878</v>
      </c>
      <c r="E219" s="25">
        <f>F219</f>
        <v>16.7878</v>
      </c>
      <c r="F219" s="25">
        <f>ROUND(16.7878,4)</f>
        <v>16.7878</v>
      </c>
      <c r="G219" s="24"/>
      <c r="H219" s="36"/>
    </row>
    <row r="220" spans="1:8" ht="12.75" customHeight="1">
      <c r="A220" s="22">
        <v>42426</v>
      </c>
      <c r="B220" s="22"/>
      <c r="C220" s="25">
        <f>ROUND(16.78425099,4)</f>
        <v>16.7843</v>
      </c>
      <c r="D220" s="25">
        <f>F220</f>
        <v>16.7883</v>
      </c>
      <c r="E220" s="25">
        <f>F220</f>
        <v>16.7883</v>
      </c>
      <c r="F220" s="25">
        <f>ROUND(16.7883,4)</f>
        <v>16.7883</v>
      </c>
      <c r="G220" s="24"/>
      <c r="H220" s="36"/>
    </row>
    <row r="221" spans="1:8" ht="12.75" customHeight="1">
      <c r="A221" s="22">
        <v>42436</v>
      </c>
      <c r="B221" s="22"/>
      <c r="C221" s="25">
        <f>ROUND(16.78425099,4)</f>
        <v>16.7843</v>
      </c>
      <c r="D221" s="25">
        <f>F221</f>
        <v>16.7951</v>
      </c>
      <c r="E221" s="25">
        <f>F221</f>
        <v>16.7951</v>
      </c>
      <c r="F221" s="25">
        <f>ROUND(16.7951,4)</f>
        <v>16.7951</v>
      </c>
      <c r="G221" s="24"/>
      <c r="H221" s="36"/>
    </row>
    <row r="222" spans="1:8" ht="12.75" customHeight="1">
      <c r="A222" s="22">
        <v>42451</v>
      </c>
      <c r="B222" s="22"/>
      <c r="C222" s="25">
        <f>ROUND(16.78425099,4)</f>
        <v>16.7843</v>
      </c>
      <c r="D222" s="25">
        <f>F222</f>
        <v>16.8084</v>
      </c>
      <c r="E222" s="25">
        <f>F222</f>
        <v>16.8084</v>
      </c>
      <c r="F222" s="25">
        <f>ROUND(16.8084,4)</f>
        <v>16.8084</v>
      </c>
      <c r="G222" s="24"/>
      <c r="H222" s="36"/>
    </row>
    <row r="223" spans="1:8" ht="12.75" customHeight="1">
      <c r="A223" s="22">
        <v>42453</v>
      </c>
      <c r="B223" s="22"/>
      <c r="C223" s="25">
        <f>ROUND(16.78425099,4)</f>
        <v>16.7843</v>
      </c>
      <c r="D223" s="25">
        <f>F223</f>
        <v>16.8188</v>
      </c>
      <c r="E223" s="25">
        <f>F223</f>
        <v>16.8188</v>
      </c>
      <c r="F223" s="25">
        <f>ROUND(16.8188,4)</f>
        <v>16.8188</v>
      </c>
      <c r="G223" s="24"/>
      <c r="H223" s="36"/>
    </row>
    <row r="224" spans="1:8" ht="12.75" customHeight="1">
      <c r="A224" s="22">
        <v>42475</v>
      </c>
      <c r="B224" s="22"/>
      <c r="C224" s="25">
        <f>ROUND(16.78425099,4)</f>
        <v>16.7843</v>
      </c>
      <c r="D224" s="25">
        <f>F224</f>
        <v>16.8462</v>
      </c>
      <c r="E224" s="25">
        <f>F224</f>
        <v>16.8462</v>
      </c>
      <c r="F224" s="25">
        <f>ROUND(16.8462,4)</f>
        <v>16.8462</v>
      </c>
      <c r="G224" s="24"/>
      <c r="H224" s="36"/>
    </row>
    <row r="225" spans="1:8" ht="12.75" customHeight="1">
      <c r="A225" s="22">
        <v>42486</v>
      </c>
      <c r="B225" s="22"/>
      <c r="C225" s="25">
        <f>ROUND(16.78425099,4)</f>
        <v>16.7843</v>
      </c>
      <c r="D225" s="25">
        <f>F225</f>
        <v>16.8646</v>
      </c>
      <c r="E225" s="25">
        <f>F225</f>
        <v>16.8646</v>
      </c>
      <c r="F225" s="25">
        <f>ROUND(16.8646,4)</f>
        <v>16.8646</v>
      </c>
      <c r="G225" s="24"/>
      <c r="H225" s="36"/>
    </row>
    <row r="226" spans="1:8" ht="12.75" customHeight="1">
      <c r="A226" s="22">
        <v>42489</v>
      </c>
      <c r="B226" s="22"/>
      <c r="C226" s="25">
        <f>ROUND(16.78425099,4)</f>
        <v>16.7843</v>
      </c>
      <c r="D226" s="25">
        <f>F226</f>
        <v>16.8788</v>
      </c>
      <c r="E226" s="25">
        <f>F226</f>
        <v>16.8788</v>
      </c>
      <c r="F226" s="25">
        <f>ROUND(16.8788,4)</f>
        <v>16.8788</v>
      </c>
      <c r="G226" s="24"/>
      <c r="H226" s="36"/>
    </row>
    <row r="227" spans="1:8" ht="12.75" customHeight="1">
      <c r="A227" s="22">
        <v>42515</v>
      </c>
      <c r="B227" s="22"/>
      <c r="C227" s="25">
        <f>ROUND(16.78425099,4)</f>
        <v>16.7843</v>
      </c>
      <c r="D227" s="25">
        <f>F227</f>
        <v>16.8956</v>
      </c>
      <c r="E227" s="25">
        <f>F227</f>
        <v>16.8956</v>
      </c>
      <c r="F227" s="25">
        <f>ROUND(16.8956,4)</f>
        <v>16.8956</v>
      </c>
      <c r="G227" s="24"/>
      <c r="H227" s="36"/>
    </row>
    <row r="228" spans="1:8" ht="12.75" customHeight="1">
      <c r="A228" s="22">
        <v>42517</v>
      </c>
      <c r="B228" s="22"/>
      <c r="C228" s="25">
        <f>ROUND(16.78425099,4)</f>
        <v>16.7843</v>
      </c>
      <c r="D228" s="25">
        <f>F228</f>
        <v>16.9156</v>
      </c>
      <c r="E228" s="25">
        <f>F228</f>
        <v>16.9156</v>
      </c>
      <c r="F228" s="25">
        <f>ROUND(16.9156,4)</f>
        <v>16.9156</v>
      </c>
      <c r="G228" s="24"/>
      <c r="H228" s="36"/>
    </row>
    <row r="229" spans="1:8" ht="12.75" customHeight="1">
      <c r="A229" s="22" t="s">
        <v>61</v>
      </c>
      <c r="B229" s="22"/>
      <c r="C229" s="23"/>
      <c r="D229" s="23"/>
      <c r="E229" s="23"/>
      <c r="F229" s="23"/>
      <c r="G229" s="24"/>
      <c r="H229" s="36"/>
    </row>
    <row r="230" spans="1:8" ht="12.75" customHeight="1">
      <c r="A230" s="22">
        <v>42426</v>
      </c>
      <c r="B230" s="22"/>
      <c r="C230" s="25">
        <f>ROUND(21.50315557,4)</f>
        <v>21.5032</v>
      </c>
      <c r="D230" s="25">
        <f>F230</f>
        <v>21.5114</v>
      </c>
      <c r="E230" s="25">
        <f>F230</f>
        <v>21.5114</v>
      </c>
      <c r="F230" s="25">
        <f>ROUND(21.5114,4)</f>
        <v>21.5114</v>
      </c>
      <c r="G230" s="24"/>
      <c r="H230" s="36"/>
    </row>
    <row r="231" spans="1:8" ht="12.75" customHeight="1">
      <c r="A231" s="22">
        <v>42429</v>
      </c>
      <c r="B231" s="22"/>
      <c r="C231" s="25">
        <f>ROUND(21.50315557,4)</f>
        <v>21.5032</v>
      </c>
      <c r="D231" s="25">
        <f>F231</f>
        <v>21.5235</v>
      </c>
      <c r="E231" s="25">
        <f>F231</f>
        <v>21.5235</v>
      </c>
      <c r="F231" s="25">
        <f>ROUND(21.5235,4)</f>
        <v>21.5235</v>
      </c>
      <c r="G231" s="24"/>
      <c r="H231" s="36"/>
    </row>
    <row r="232" spans="1:8" ht="12.75" customHeight="1">
      <c r="A232" s="22">
        <v>42436</v>
      </c>
      <c r="B232" s="22"/>
      <c r="C232" s="25">
        <f>ROUND(21.50315557,4)</f>
        <v>21.5032</v>
      </c>
      <c r="D232" s="25">
        <f>F232</f>
        <v>21.5519</v>
      </c>
      <c r="E232" s="25">
        <f>F232</f>
        <v>21.5519</v>
      </c>
      <c r="F232" s="25">
        <f>ROUND(21.5519,4)</f>
        <v>21.5519</v>
      </c>
      <c r="G232" s="24"/>
      <c r="H232" s="36"/>
    </row>
    <row r="233" spans="1:8" ht="12.75" customHeight="1">
      <c r="A233" s="22">
        <v>42475</v>
      </c>
      <c r="B233" s="22"/>
      <c r="C233" s="25">
        <f>ROUND(21.50315557,4)</f>
        <v>21.5032</v>
      </c>
      <c r="D233" s="25">
        <f>F233</f>
        <v>21.7129</v>
      </c>
      <c r="E233" s="25">
        <f>F233</f>
        <v>21.7129</v>
      </c>
      <c r="F233" s="25">
        <f>ROUND(21.7129,4)</f>
        <v>21.7129</v>
      </c>
      <c r="G233" s="24"/>
      <c r="H233" s="36"/>
    </row>
    <row r="234" spans="1:8" ht="12.75" customHeight="1">
      <c r="A234" s="22">
        <v>42621</v>
      </c>
      <c r="B234" s="22"/>
      <c r="C234" s="25">
        <f>ROUND(21.50315557,4)</f>
        <v>21.5032</v>
      </c>
      <c r="D234" s="25">
        <f>F234</f>
        <v>22.3531</v>
      </c>
      <c r="E234" s="25">
        <f>F234</f>
        <v>22.3531</v>
      </c>
      <c r="F234" s="25">
        <f>ROUND(22.3531,4)</f>
        <v>22.3531</v>
      </c>
      <c r="G234" s="24"/>
      <c r="H234" s="36"/>
    </row>
    <row r="235" spans="1:8" ht="12.75" customHeight="1">
      <c r="A235" s="22" t="s">
        <v>62</v>
      </c>
      <c r="B235" s="22"/>
      <c r="C235" s="23"/>
      <c r="D235" s="23"/>
      <c r="E235" s="23"/>
      <c r="F235" s="23"/>
      <c r="G235" s="24"/>
      <c r="H235" s="36"/>
    </row>
    <row r="236" spans="1:8" ht="12.75" customHeight="1">
      <c r="A236" s="22">
        <v>42423</v>
      </c>
      <c r="B236" s="22"/>
      <c r="C236" s="25">
        <f>ROUND(15.2321,4)</f>
        <v>15.2321</v>
      </c>
      <c r="D236" s="25">
        <f>F236</f>
        <v>15.235</v>
      </c>
      <c r="E236" s="25">
        <f>F236</f>
        <v>15.235</v>
      </c>
      <c r="F236" s="25">
        <f>ROUND(15.235,4)</f>
        <v>15.235</v>
      </c>
      <c r="G236" s="24"/>
      <c r="H236" s="36"/>
    </row>
    <row r="237" spans="1:8" ht="12.75" customHeight="1">
      <c r="A237" s="22">
        <v>42424</v>
      </c>
      <c r="B237" s="22"/>
      <c r="C237" s="25">
        <f>ROUND(15.2321,4)</f>
        <v>15.2321</v>
      </c>
      <c r="D237" s="25">
        <f>F237</f>
        <v>15.235</v>
      </c>
      <c r="E237" s="25">
        <f>F237</f>
        <v>15.235</v>
      </c>
      <c r="F237" s="25">
        <f>ROUND(15.235,4)</f>
        <v>15.235</v>
      </c>
      <c r="G237" s="24"/>
      <c r="H237" s="36"/>
    </row>
    <row r="238" spans="1:8" ht="12.75" customHeight="1">
      <c r="A238" s="22">
        <v>42425</v>
      </c>
      <c r="B238" s="22"/>
      <c r="C238" s="25">
        <f>ROUND(15.2321,4)</f>
        <v>15.2321</v>
      </c>
      <c r="D238" s="25">
        <f>F238</f>
        <v>15.235</v>
      </c>
      <c r="E238" s="25">
        <f>F238</f>
        <v>15.235</v>
      </c>
      <c r="F238" s="25">
        <f>ROUND(15.235,4)</f>
        <v>15.235</v>
      </c>
      <c r="G238" s="24"/>
      <c r="H238" s="36"/>
    </row>
    <row r="239" spans="1:8" ht="12.75" customHeight="1">
      <c r="A239" s="22">
        <v>42426</v>
      </c>
      <c r="B239" s="22"/>
      <c r="C239" s="25">
        <f>ROUND(15.2321,4)</f>
        <v>15.2321</v>
      </c>
      <c r="D239" s="25">
        <f>F239</f>
        <v>15.2379</v>
      </c>
      <c r="E239" s="25">
        <f>F239</f>
        <v>15.2379</v>
      </c>
      <c r="F239" s="25">
        <f>ROUND(15.2379,4)</f>
        <v>15.2379</v>
      </c>
      <c r="G239" s="24"/>
      <c r="H239" s="36"/>
    </row>
    <row r="240" spans="1:8" ht="12.75" customHeight="1">
      <c r="A240" s="22">
        <v>42429</v>
      </c>
      <c r="B240" s="22"/>
      <c r="C240" s="25">
        <f>ROUND(15.2321,4)</f>
        <v>15.2321</v>
      </c>
      <c r="D240" s="25">
        <f>F240</f>
        <v>15.2464</v>
      </c>
      <c r="E240" s="25">
        <f>F240</f>
        <v>15.2464</v>
      </c>
      <c r="F240" s="25">
        <f>ROUND(15.2464,4)</f>
        <v>15.2464</v>
      </c>
      <c r="G240" s="24"/>
      <c r="H240" s="36"/>
    </row>
    <row r="241" spans="1:8" ht="12.75" customHeight="1">
      <c r="A241" s="22">
        <v>42430</v>
      </c>
      <c r="B241" s="22"/>
      <c r="C241" s="25">
        <f>ROUND(15.2321,4)</f>
        <v>15.2321</v>
      </c>
      <c r="D241" s="25">
        <f>F241</f>
        <v>15.2493</v>
      </c>
      <c r="E241" s="25">
        <f>F241</f>
        <v>15.2493</v>
      </c>
      <c r="F241" s="25">
        <f>ROUND(15.2493,4)</f>
        <v>15.2493</v>
      </c>
      <c r="G241" s="24"/>
      <c r="H241" s="36"/>
    </row>
    <row r="242" spans="1:8" ht="12.75" customHeight="1">
      <c r="A242" s="22">
        <v>42431</v>
      </c>
      <c r="B242" s="22"/>
      <c r="C242" s="25">
        <f>ROUND(15.2321,4)</f>
        <v>15.2321</v>
      </c>
      <c r="D242" s="25">
        <f>F242</f>
        <v>15.2521</v>
      </c>
      <c r="E242" s="25">
        <f>F242</f>
        <v>15.2521</v>
      </c>
      <c r="F242" s="25">
        <f>ROUND(15.2521,4)</f>
        <v>15.2521</v>
      </c>
      <c r="G242" s="24"/>
      <c r="H242" s="36"/>
    </row>
    <row r="243" spans="1:8" ht="12.75" customHeight="1">
      <c r="A243" s="22">
        <v>42432</v>
      </c>
      <c r="B243" s="22"/>
      <c r="C243" s="25">
        <f>ROUND(15.2321,4)</f>
        <v>15.2321</v>
      </c>
      <c r="D243" s="25">
        <f>F243</f>
        <v>15.255</v>
      </c>
      <c r="E243" s="25">
        <f>F243</f>
        <v>15.255</v>
      </c>
      <c r="F243" s="25">
        <f>ROUND(15.255,4)</f>
        <v>15.255</v>
      </c>
      <c r="G243" s="24"/>
      <c r="H243" s="36"/>
    </row>
    <row r="244" spans="1:8" ht="12.75" customHeight="1">
      <c r="A244" s="22">
        <v>42433</v>
      </c>
      <c r="B244" s="22"/>
      <c r="C244" s="25">
        <f>ROUND(15.2321,4)</f>
        <v>15.2321</v>
      </c>
      <c r="D244" s="25">
        <f>F244</f>
        <v>15.2578</v>
      </c>
      <c r="E244" s="25">
        <f>F244</f>
        <v>15.2578</v>
      </c>
      <c r="F244" s="25">
        <f>ROUND(15.2578,4)</f>
        <v>15.2578</v>
      </c>
      <c r="G244" s="24"/>
      <c r="H244" s="36"/>
    </row>
    <row r="245" spans="1:8" ht="12.75" customHeight="1">
      <c r="A245" s="22">
        <v>42436</v>
      </c>
      <c r="B245" s="22"/>
      <c r="C245" s="25">
        <f>ROUND(15.2321,4)</f>
        <v>15.2321</v>
      </c>
      <c r="D245" s="25">
        <f>F245</f>
        <v>15.2664</v>
      </c>
      <c r="E245" s="25">
        <f>F245</f>
        <v>15.2664</v>
      </c>
      <c r="F245" s="25">
        <f>ROUND(15.2664,4)</f>
        <v>15.2664</v>
      </c>
      <c r="G245" s="24"/>
      <c r="H245" s="36"/>
    </row>
    <row r="246" spans="1:8" ht="12.75" customHeight="1">
      <c r="A246" s="22">
        <v>42440</v>
      </c>
      <c r="B246" s="22"/>
      <c r="C246" s="25">
        <f>ROUND(15.2321,4)</f>
        <v>15.2321</v>
      </c>
      <c r="D246" s="25">
        <f>F246</f>
        <v>15.2778</v>
      </c>
      <c r="E246" s="25">
        <f>F246</f>
        <v>15.2778</v>
      </c>
      <c r="F246" s="25">
        <f>ROUND(15.2778,4)</f>
        <v>15.2778</v>
      </c>
      <c r="G246" s="24"/>
      <c r="H246" s="36"/>
    </row>
    <row r="247" spans="1:8" ht="12.75" customHeight="1">
      <c r="A247" s="22">
        <v>42444</v>
      </c>
      <c r="B247" s="22"/>
      <c r="C247" s="25">
        <f>ROUND(15.2321,4)</f>
        <v>15.2321</v>
      </c>
      <c r="D247" s="25">
        <f>F247</f>
        <v>15.2892</v>
      </c>
      <c r="E247" s="25">
        <f>F247</f>
        <v>15.2892</v>
      </c>
      <c r="F247" s="25">
        <f>ROUND(15.2892,4)</f>
        <v>15.2892</v>
      </c>
      <c r="G247" s="24"/>
      <c r="H247" s="36"/>
    </row>
    <row r="248" spans="1:8" ht="12.75" customHeight="1">
      <c r="A248" s="22">
        <v>42445</v>
      </c>
      <c r="B248" s="22"/>
      <c r="C248" s="25">
        <f>ROUND(15.2321,4)</f>
        <v>15.2321</v>
      </c>
      <c r="D248" s="25">
        <f>F248</f>
        <v>15.292</v>
      </c>
      <c r="E248" s="25">
        <f>F248</f>
        <v>15.292</v>
      </c>
      <c r="F248" s="25">
        <f>ROUND(15.292,4)</f>
        <v>15.292</v>
      </c>
      <c r="G248" s="24"/>
      <c r="H248" s="36"/>
    </row>
    <row r="249" spans="1:8" ht="12.75" customHeight="1">
      <c r="A249" s="22">
        <v>42452</v>
      </c>
      <c r="B249" s="22"/>
      <c r="C249" s="25">
        <f>ROUND(15.2321,4)</f>
        <v>15.2321</v>
      </c>
      <c r="D249" s="25">
        <f>F249</f>
        <v>15.312</v>
      </c>
      <c r="E249" s="25">
        <f>F249</f>
        <v>15.312</v>
      </c>
      <c r="F249" s="25">
        <f>ROUND(15.312,4)</f>
        <v>15.312</v>
      </c>
      <c r="G249" s="24"/>
      <c r="H249" s="36"/>
    </row>
    <row r="250" spans="1:8" ht="12.75" customHeight="1">
      <c r="A250" s="22">
        <v>42453</v>
      </c>
      <c r="B250" s="22"/>
      <c r="C250" s="25">
        <f>ROUND(15.2321,4)</f>
        <v>15.2321</v>
      </c>
      <c r="D250" s="25">
        <f>F250</f>
        <v>15.3148</v>
      </c>
      <c r="E250" s="25">
        <f>F250</f>
        <v>15.3148</v>
      </c>
      <c r="F250" s="25">
        <f>ROUND(15.3148,4)</f>
        <v>15.3148</v>
      </c>
      <c r="G250" s="24"/>
      <c r="H250" s="36"/>
    </row>
    <row r="251" spans="1:8" ht="12.75" customHeight="1">
      <c r="A251" s="22">
        <v>42458</v>
      </c>
      <c r="B251" s="22"/>
      <c r="C251" s="25">
        <f>ROUND(15.2321,4)</f>
        <v>15.2321</v>
      </c>
      <c r="D251" s="25">
        <f>F251</f>
        <v>15.3293</v>
      </c>
      <c r="E251" s="25">
        <f>F251</f>
        <v>15.3293</v>
      </c>
      <c r="F251" s="25">
        <f>ROUND(15.3293,4)</f>
        <v>15.3293</v>
      </c>
      <c r="G251" s="24"/>
      <c r="H251" s="36"/>
    </row>
    <row r="252" spans="1:8" ht="12.75" customHeight="1">
      <c r="A252" s="22">
        <v>42460</v>
      </c>
      <c r="B252" s="22"/>
      <c r="C252" s="25">
        <f>ROUND(15.2321,4)</f>
        <v>15.2321</v>
      </c>
      <c r="D252" s="25">
        <f>F252</f>
        <v>15.3351</v>
      </c>
      <c r="E252" s="25">
        <f>F252</f>
        <v>15.3351</v>
      </c>
      <c r="F252" s="25">
        <f>ROUND(15.3351,4)</f>
        <v>15.3351</v>
      </c>
      <c r="G252" s="24"/>
      <c r="H252" s="36"/>
    </row>
    <row r="253" spans="1:8" ht="12.75" customHeight="1">
      <c r="A253" s="22">
        <v>42464</v>
      </c>
      <c r="B253" s="22"/>
      <c r="C253" s="25">
        <f>ROUND(15.2321,4)</f>
        <v>15.2321</v>
      </c>
      <c r="D253" s="25">
        <f>F253</f>
        <v>15.3467</v>
      </c>
      <c r="E253" s="25">
        <f>F253</f>
        <v>15.3467</v>
      </c>
      <c r="F253" s="25">
        <f>ROUND(15.3467,4)</f>
        <v>15.3467</v>
      </c>
      <c r="G253" s="24"/>
      <c r="H253" s="36"/>
    </row>
    <row r="254" spans="1:8" ht="12.75" customHeight="1">
      <c r="A254" s="22">
        <v>42465</v>
      </c>
      <c r="B254" s="22"/>
      <c r="C254" s="25">
        <f>ROUND(15.2321,4)</f>
        <v>15.2321</v>
      </c>
      <c r="D254" s="25">
        <f>F254</f>
        <v>15.3496</v>
      </c>
      <c r="E254" s="25">
        <f>F254</f>
        <v>15.3496</v>
      </c>
      <c r="F254" s="25">
        <f>ROUND(15.3496,4)</f>
        <v>15.3496</v>
      </c>
      <c r="G254" s="24"/>
      <c r="H254" s="36"/>
    </row>
    <row r="255" spans="1:8" ht="12.75" customHeight="1">
      <c r="A255" s="22">
        <v>42466</v>
      </c>
      <c r="B255" s="22"/>
      <c r="C255" s="25">
        <f>ROUND(15.2321,4)</f>
        <v>15.2321</v>
      </c>
      <c r="D255" s="25">
        <f>F255</f>
        <v>15.3525</v>
      </c>
      <c r="E255" s="25">
        <f>F255</f>
        <v>15.3525</v>
      </c>
      <c r="F255" s="25">
        <f>ROUND(15.3525,4)</f>
        <v>15.3525</v>
      </c>
      <c r="G255" s="24"/>
      <c r="H255" s="36"/>
    </row>
    <row r="256" spans="1:8" ht="12.75" customHeight="1">
      <c r="A256" s="22">
        <v>42467</v>
      </c>
      <c r="B256" s="22"/>
      <c r="C256" s="25">
        <f>ROUND(15.2321,4)</f>
        <v>15.2321</v>
      </c>
      <c r="D256" s="25">
        <f>F256</f>
        <v>15.3554</v>
      </c>
      <c r="E256" s="25">
        <f>F256</f>
        <v>15.3554</v>
      </c>
      <c r="F256" s="25">
        <f>ROUND(15.3554,4)</f>
        <v>15.3554</v>
      </c>
      <c r="G256" s="24"/>
      <c r="H256" s="36"/>
    </row>
    <row r="257" spans="1:8" ht="12.75" customHeight="1">
      <c r="A257" s="22">
        <v>42471</v>
      </c>
      <c r="B257" s="22"/>
      <c r="C257" s="25">
        <f>ROUND(15.2321,4)</f>
        <v>15.2321</v>
      </c>
      <c r="D257" s="25">
        <f>F257</f>
        <v>15.367</v>
      </c>
      <c r="E257" s="25">
        <f>F257</f>
        <v>15.367</v>
      </c>
      <c r="F257" s="25">
        <f>ROUND(15.367,4)</f>
        <v>15.367</v>
      </c>
      <c r="G257" s="24"/>
      <c r="H257" s="36"/>
    </row>
    <row r="258" spans="1:8" ht="12.75" customHeight="1">
      <c r="A258" s="22">
        <v>42475</v>
      </c>
      <c r="B258" s="22"/>
      <c r="C258" s="25">
        <f>ROUND(15.2321,4)</f>
        <v>15.2321</v>
      </c>
      <c r="D258" s="25">
        <f>F258</f>
        <v>15.3786</v>
      </c>
      <c r="E258" s="25">
        <f>F258</f>
        <v>15.3786</v>
      </c>
      <c r="F258" s="25">
        <f>ROUND(15.3786,4)</f>
        <v>15.3786</v>
      </c>
      <c r="G258" s="24"/>
      <c r="H258" s="36"/>
    </row>
    <row r="259" spans="1:8" ht="12.75" customHeight="1">
      <c r="A259" s="22">
        <v>42478</v>
      </c>
      <c r="B259" s="22"/>
      <c r="C259" s="25">
        <f>ROUND(15.2321,4)</f>
        <v>15.2321</v>
      </c>
      <c r="D259" s="25">
        <f>F259</f>
        <v>15.3873</v>
      </c>
      <c r="E259" s="25">
        <f>F259</f>
        <v>15.3873</v>
      </c>
      <c r="F259" s="25">
        <f>ROUND(15.3873,4)</f>
        <v>15.3873</v>
      </c>
      <c r="G259" s="24"/>
      <c r="H259" s="36"/>
    </row>
    <row r="260" spans="1:8" ht="12.75" customHeight="1">
      <c r="A260" s="22">
        <v>42480</v>
      </c>
      <c r="B260" s="22"/>
      <c r="C260" s="25">
        <f>ROUND(15.2321,4)</f>
        <v>15.2321</v>
      </c>
      <c r="D260" s="25">
        <f>F260</f>
        <v>15.3931</v>
      </c>
      <c r="E260" s="25">
        <f>F260</f>
        <v>15.3931</v>
      </c>
      <c r="F260" s="25">
        <f>ROUND(15.3931,4)</f>
        <v>15.3931</v>
      </c>
      <c r="G260" s="24"/>
      <c r="H260" s="36"/>
    </row>
    <row r="261" spans="1:8" ht="12.75" customHeight="1">
      <c r="A261" s="22">
        <v>42485</v>
      </c>
      <c r="B261" s="22"/>
      <c r="C261" s="25">
        <f>ROUND(15.2321,4)</f>
        <v>15.2321</v>
      </c>
      <c r="D261" s="25">
        <f>F261</f>
        <v>15.4076</v>
      </c>
      <c r="E261" s="25">
        <f>F261</f>
        <v>15.4076</v>
      </c>
      <c r="F261" s="25">
        <f>ROUND(15.4076,4)</f>
        <v>15.4076</v>
      </c>
      <c r="G261" s="24"/>
      <c r="H261" s="36"/>
    </row>
    <row r="262" spans="1:8" ht="12.75" customHeight="1">
      <c r="A262" s="22">
        <v>42486</v>
      </c>
      <c r="B262" s="22"/>
      <c r="C262" s="25">
        <f>ROUND(15.2321,4)</f>
        <v>15.2321</v>
      </c>
      <c r="D262" s="25">
        <f>F262</f>
        <v>15.4106</v>
      </c>
      <c r="E262" s="25">
        <f>F262</f>
        <v>15.4106</v>
      </c>
      <c r="F262" s="25">
        <f>ROUND(15.4106,4)</f>
        <v>15.4106</v>
      </c>
      <c r="G262" s="24"/>
      <c r="H262" s="36"/>
    </row>
    <row r="263" spans="1:8" ht="12.75" customHeight="1">
      <c r="A263" s="22">
        <v>42489</v>
      </c>
      <c r="B263" s="22"/>
      <c r="C263" s="25">
        <f>ROUND(15.2321,4)</f>
        <v>15.2321</v>
      </c>
      <c r="D263" s="25">
        <f>F263</f>
        <v>15.4194</v>
      </c>
      <c r="E263" s="25">
        <f>F263</f>
        <v>15.4194</v>
      </c>
      <c r="F263" s="25">
        <f>ROUND(15.4194,4)</f>
        <v>15.4194</v>
      </c>
      <c r="G263" s="24"/>
      <c r="H263" s="36"/>
    </row>
    <row r="264" spans="1:8" ht="12.75" customHeight="1">
      <c r="A264" s="22">
        <v>42494</v>
      </c>
      <c r="B264" s="22"/>
      <c r="C264" s="25">
        <f>ROUND(15.2321,4)</f>
        <v>15.2321</v>
      </c>
      <c r="D264" s="25">
        <f>F264</f>
        <v>15.4341</v>
      </c>
      <c r="E264" s="25">
        <f>F264</f>
        <v>15.4341</v>
      </c>
      <c r="F264" s="25">
        <f>ROUND(15.4341,4)</f>
        <v>15.4341</v>
      </c>
      <c r="G264" s="24"/>
      <c r="H264" s="36"/>
    </row>
    <row r="265" spans="1:8" ht="12.75" customHeight="1">
      <c r="A265" s="22">
        <v>42500</v>
      </c>
      <c r="B265" s="22"/>
      <c r="C265" s="25">
        <f>ROUND(15.2321,4)</f>
        <v>15.2321</v>
      </c>
      <c r="D265" s="25">
        <f>F265</f>
        <v>15.4518</v>
      </c>
      <c r="E265" s="25">
        <f>F265</f>
        <v>15.4518</v>
      </c>
      <c r="F265" s="25">
        <f>ROUND(15.4518,4)</f>
        <v>15.4518</v>
      </c>
      <c r="G265" s="24"/>
      <c r="H265" s="36"/>
    </row>
    <row r="266" spans="1:8" ht="12.75" customHeight="1">
      <c r="A266" s="22">
        <v>42503</v>
      </c>
      <c r="B266" s="22"/>
      <c r="C266" s="25">
        <f>ROUND(15.2321,4)</f>
        <v>15.2321</v>
      </c>
      <c r="D266" s="25">
        <f>F266</f>
        <v>15.4606</v>
      </c>
      <c r="E266" s="25">
        <f>F266</f>
        <v>15.4606</v>
      </c>
      <c r="F266" s="25">
        <f>ROUND(15.4606,4)</f>
        <v>15.4606</v>
      </c>
      <c r="G266" s="24"/>
      <c r="H266" s="36"/>
    </row>
    <row r="267" spans="1:8" ht="12.75" customHeight="1">
      <c r="A267" s="22">
        <v>42506</v>
      </c>
      <c r="B267" s="22"/>
      <c r="C267" s="25">
        <f>ROUND(15.2321,4)</f>
        <v>15.2321</v>
      </c>
      <c r="D267" s="25">
        <f>F267</f>
        <v>15.4694</v>
      </c>
      <c r="E267" s="25">
        <f>F267</f>
        <v>15.4694</v>
      </c>
      <c r="F267" s="25">
        <f>ROUND(15.4694,4)</f>
        <v>15.4694</v>
      </c>
      <c r="G267" s="24"/>
      <c r="H267" s="36"/>
    </row>
    <row r="268" spans="1:8" ht="12.75" customHeight="1">
      <c r="A268" s="22">
        <v>42507</v>
      </c>
      <c r="B268" s="22"/>
      <c r="C268" s="25">
        <f>ROUND(15.2321,4)</f>
        <v>15.2321</v>
      </c>
      <c r="D268" s="25">
        <f>F268</f>
        <v>15.4724</v>
      </c>
      <c r="E268" s="25">
        <f>F268</f>
        <v>15.4724</v>
      </c>
      <c r="F268" s="25">
        <f>ROUND(15.4724,4)</f>
        <v>15.4724</v>
      </c>
      <c r="G268" s="24"/>
      <c r="H268" s="36"/>
    </row>
    <row r="269" spans="1:8" ht="12.75" customHeight="1">
      <c r="A269" s="22">
        <v>42509</v>
      </c>
      <c r="B269" s="22"/>
      <c r="C269" s="25">
        <f>ROUND(15.2321,4)</f>
        <v>15.2321</v>
      </c>
      <c r="D269" s="25">
        <f>F269</f>
        <v>15.4782</v>
      </c>
      <c r="E269" s="25">
        <f>F269</f>
        <v>15.4782</v>
      </c>
      <c r="F269" s="25">
        <f>ROUND(15.4782,4)</f>
        <v>15.4782</v>
      </c>
      <c r="G269" s="24"/>
      <c r="H269" s="36"/>
    </row>
    <row r="270" spans="1:8" ht="12.75" customHeight="1">
      <c r="A270" s="22">
        <v>42515</v>
      </c>
      <c r="B270" s="22"/>
      <c r="C270" s="25">
        <f>ROUND(15.2321,4)</f>
        <v>15.2321</v>
      </c>
      <c r="D270" s="25">
        <f>F270</f>
        <v>15.496</v>
      </c>
      <c r="E270" s="25">
        <f>F270</f>
        <v>15.496</v>
      </c>
      <c r="F270" s="25">
        <f>ROUND(15.496,4)</f>
        <v>15.496</v>
      </c>
      <c r="G270" s="24"/>
      <c r="H270" s="36"/>
    </row>
    <row r="271" spans="1:8" ht="12.75" customHeight="1">
      <c r="A271" s="22">
        <v>42517</v>
      </c>
      <c r="B271" s="22"/>
      <c r="C271" s="25">
        <f>ROUND(15.2321,4)</f>
        <v>15.2321</v>
      </c>
      <c r="D271" s="25">
        <f>F271</f>
        <v>15.502</v>
      </c>
      <c r="E271" s="25">
        <f>F271</f>
        <v>15.502</v>
      </c>
      <c r="F271" s="25">
        <f>ROUND(15.502,4)</f>
        <v>15.502</v>
      </c>
      <c r="G271" s="24"/>
      <c r="H271" s="36"/>
    </row>
    <row r="272" spans="1:8" ht="12.75" customHeight="1">
      <c r="A272" s="22">
        <v>42521</v>
      </c>
      <c r="B272" s="22"/>
      <c r="C272" s="25">
        <f>ROUND(15.2321,4)</f>
        <v>15.2321</v>
      </c>
      <c r="D272" s="25">
        <f>F272</f>
        <v>15.5141</v>
      </c>
      <c r="E272" s="25">
        <f>F272</f>
        <v>15.5141</v>
      </c>
      <c r="F272" s="25">
        <f>ROUND(15.5141,4)</f>
        <v>15.5141</v>
      </c>
      <c r="G272" s="24"/>
      <c r="H272" s="36"/>
    </row>
    <row r="273" spans="1:8" ht="12.75" customHeight="1">
      <c r="A273" s="22">
        <v>42527</v>
      </c>
      <c r="B273" s="22"/>
      <c r="C273" s="25">
        <f>ROUND(15.2321,4)</f>
        <v>15.2321</v>
      </c>
      <c r="D273" s="25">
        <f>F273</f>
        <v>15.5322</v>
      </c>
      <c r="E273" s="25">
        <f>F273</f>
        <v>15.5322</v>
      </c>
      <c r="F273" s="25">
        <f>ROUND(15.5322,4)</f>
        <v>15.5322</v>
      </c>
      <c r="G273" s="24"/>
      <c r="H273" s="36"/>
    </row>
    <row r="274" spans="1:8" ht="12.75" customHeight="1">
      <c r="A274" s="22">
        <v>42529</v>
      </c>
      <c r="B274" s="22"/>
      <c r="C274" s="25">
        <f>ROUND(15.2321,4)</f>
        <v>15.2321</v>
      </c>
      <c r="D274" s="25">
        <f>F274</f>
        <v>15.5382</v>
      </c>
      <c r="E274" s="25">
        <f>F274</f>
        <v>15.5382</v>
      </c>
      <c r="F274" s="25">
        <f>ROUND(15.5382,4)</f>
        <v>15.5382</v>
      </c>
      <c r="G274" s="24"/>
      <c r="H274" s="36"/>
    </row>
    <row r="275" spans="1:8" ht="12.75" customHeight="1">
      <c r="A275" s="22">
        <v>42530</v>
      </c>
      <c r="B275" s="22"/>
      <c r="C275" s="25">
        <f>ROUND(15.2321,4)</f>
        <v>15.2321</v>
      </c>
      <c r="D275" s="25">
        <f>F275</f>
        <v>15.5412</v>
      </c>
      <c r="E275" s="25">
        <f>F275</f>
        <v>15.5412</v>
      </c>
      <c r="F275" s="25">
        <f>ROUND(15.5412,4)</f>
        <v>15.5412</v>
      </c>
      <c r="G275" s="24"/>
      <c r="H275" s="36"/>
    </row>
    <row r="276" spans="1:8" ht="12.75" customHeight="1">
      <c r="A276" s="22">
        <v>42545</v>
      </c>
      <c r="B276" s="22"/>
      <c r="C276" s="25">
        <f>ROUND(15.2321,4)</f>
        <v>15.2321</v>
      </c>
      <c r="D276" s="25">
        <f>F276</f>
        <v>15.5865</v>
      </c>
      <c r="E276" s="25">
        <f>F276</f>
        <v>15.5865</v>
      </c>
      <c r="F276" s="25">
        <f>ROUND(15.5865,4)</f>
        <v>15.5865</v>
      </c>
      <c r="G276" s="24"/>
      <c r="H276" s="36"/>
    </row>
    <row r="277" spans="1:8" ht="12.75" customHeight="1">
      <c r="A277" s="22">
        <v>42549</v>
      </c>
      <c r="B277" s="22"/>
      <c r="C277" s="25">
        <f>ROUND(15.2321,4)</f>
        <v>15.2321</v>
      </c>
      <c r="D277" s="25">
        <f>F277</f>
        <v>15.5985</v>
      </c>
      <c r="E277" s="25">
        <f>F277</f>
        <v>15.5985</v>
      </c>
      <c r="F277" s="25">
        <f>ROUND(15.5985,4)</f>
        <v>15.5985</v>
      </c>
      <c r="G277" s="24"/>
      <c r="H277" s="36"/>
    </row>
    <row r="278" spans="1:8" ht="12.75" customHeight="1">
      <c r="A278" s="22">
        <v>42577</v>
      </c>
      <c r="B278" s="22"/>
      <c r="C278" s="25">
        <f>ROUND(15.2321,4)</f>
        <v>15.2321</v>
      </c>
      <c r="D278" s="25">
        <f>F278</f>
        <v>15.683</v>
      </c>
      <c r="E278" s="25">
        <f>F278</f>
        <v>15.683</v>
      </c>
      <c r="F278" s="25">
        <f>ROUND(15.683,4)</f>
        <v>15.683</v>
      </c>
      <c r="G278" s="24"/>
      <c r="H278" s="36"/>
    </row>
    <row r="279" spans="1:8" ht="12.75" customHeight="1">
      <c r="A279" s="22">
        <v>42578</v>
      </c>
      <c r="B279" s="22"/>
      <c r="C279" s="25">
        <f>ROUND(15.2321,4)</f>
        <v>15.2321</v>
      </c>
      <c r="D279" s="25">
        <f>F279</f>
        <v>15.686</v>
      </c>
      <c r="E279" s="25">
        <f>F279</f>
        <v>15.686</v>
      </c>
      <c r="F279" s="25">
        <f>ROUND(15.686,4)</f>
        <v>15.686</v>
      </c>
      <c r="G279" s="24"/>
      <c r="H279" s="36"/>
    </row>
    <row r="280" spans="1:8" ht="12.75" customHeight="1">
      <c r="A280" s="22">
        <v>42593</v>
      </c>
      <c r="B280" s="22"/>
      <c r="C280" s="25">
        <f>ROUND(15.2321,4)</f>
        <v>15.2321</v>
      </c>
      <c r="D280" s="25">
        <f>F280</f>
        <v>15.7313</v>
      </c>
      <c r="E280" s="25">
        <f>F280</f>
        <v>15.7313</v>
      </c>
      <c r="F280" s="25">
        <f>ROUND(15.7313,4)</f>
        <v>15.7313</v>
      </c>
      <c r="G280" s="24"/>
      <c r="H280" s="36"/>
    </row>
    <row r="281" spans="1:8" ht="12.75" customHeight="1">
      <c r="A281" s="22">
        <v>42597</v>
      </c>
      <c r="B281" s="22"/>
      <c r="C281" s="25">
        <f>ROUND(15.2321,4)</f>
        <v>15.2321</v>
      </c>
      <c r="D281" s="25">
        <f>F281</f>
        <v>15.7433</v>
      </c>
      <c r="E281" s="25">
        <f>F281</f>
        <v>15.7433</v>
      </c>
      <c r="F281" s="25">
        <f>ROUND(15.7433,4)</f>
        <v>15.7433</v>
      </c>
      <c r="G281" s="24"/>
      <c r="H281" s="36"/>
    </row>
    <row r="282" spans="1:8" ht="12.75" customHeight="1">
      <c r="A282" s="22">
        <v>42608</v>
      </c>
      <c r="B282" s="22"/>
      <c r="C282" s="25">
        <f>ROUND(15.2321,4)</f>
        <v>15.2321</v>
      </c>
      <c r="D282" s="25">
        <f>F282</f>
        <v>15.7768</v>
      </c>
      <c r="E282" s="25">
        <f>F282</f>
        <v>15.7768</v>
      </c>
      <c r="F282" s="25">
        <f>ROUND(15.7768,4)</f>
        <v>15.7768</v>
      </c>
      <c r="G282" s="24"/>
      <c r="H282" s="36"/>
    </row>
    <row r="283" spans="1:8" ht="12.75" customHeight="1">
      <c r="A283" s="22">
        <v>42619</v>
      </c>
      <c r="B283" s="22"/>
      <c r="C283" s="25">
        <f>ROUND(15.2321,4)</f>
        <v>15.2321</v>
      </c>
      <c r="D283" s="25">
        <f>F283</f>
        <v>15.8115</v>
      </c>
      <c r="E283" s="25">
        <f>F283</f>
        <v>15.8115</v>
      </c>
      <c r="F283" s="25">
        <f>ROUND(15.8115,4)</f>
        <v>15.8115</v>
      </c>
      <c r="G283" s="24"/>
      <c r="H283" s="36"/>
    </row>
    <row r="284" spans="1:8" ht="12.75" customHeight="1">
      <c r="A284" s="22">
        <v>42621</v>
      </c>
      <c r="B284" s="22"/>
      <c r="C284" s="25">
        <f>ROUND(15.2321,4)</f>
        <v>15.2321</v>
      </c>
      <c r="D284" s="25">
        <f>F284</f>
        <v>15.8178</v>
      </c>
      <c r="E284" s="25">
        <f>F284</f>
        <v>15.8178</v>
      </c>
      <c r="F284" s="25">
        <f>ROUND(15.8178,4)</f>
        <v>15.8178</v>
      </c>
      <c r="G284" s="24"/>
      <c r="H284" s="36"/>
    </row>
    <row r="285" spans="1:8" ht="12.75" customHeight="1">
      <c r="A285" s="22">
        <v>42622</v>
      </c>
      <c r="B285" s="22"/>
      <c r="C285" s="25">
        <f>ROUND(15.2321,4)</f>
        <v>15.2321</v>
      </c>
      <c r="D285" s="25">
        <f>F285</f>
        <v>15.8209</v>
      </c>
      <c r="E285" s="25">
        <f>F285</f>
        <v>15.8209</v>
      </c>
      <c r="F285" s="25">
        <f>ROUND(15.8209,4)</f>
        <v>15.8209</v>
      </c>
      <c r="G285" s="24"/>
      <c r="H285" s="36"/>
    </row>
    <row r="286" spans="1:8" ht="12.75" customHeight="1">
      <c r="A286" s="22">
        <v>42626</v>
      </c>
      <c r="B286" s="22"/>
      <c r="C286" s="25">
        <f>ROUND(15.2321,4)</f>
        <v>15.2321</v>
      </c>
      <c r="D286" s="25">
        <f>F286</f>
        <v>15.8336</v>
      </c>
      <c r="E286" s="25">
        <f>F286</f>
        <v>15.8336</v>
      </c>
      <c r="F286" s="25">
        <f>ROUND(15.8336,4)</f>
        <v>15.8336</v>
      </c>
      <c r="G286" s="24"/>
      <c r="H286" s="36"/>
    </row>
    <row r="287" spans="1:8" ht="12.75" customHeight="1">
      <c r="A287" s="22">
        <v>42628</v>
      </c>
      <c r="B287" s="22"/>
      <c r="C287" s="25">
        <f>ROUND(15.2321,4)</f>
        <v>15.2321</v>
      </c>
      <c r="D287" s="25">
        <f>F287</f>
        <v>15.8399</v>
      </c>
      <c r="E287" s="25">
        <f>F287</f>
        <v>15.8399</v>
      </c>
      <c r="F287" s="25">
        <f>ROUND(15.8399,4)</f>
        <v>15.8399</v>
      </c>
      <c r="G287" s="24"/>
      <c r="H287" s="36"/>
    </row>
    <row r="288" spans="1:8" ht="12.75" customHeight="1">
      <c r="A288" s="22">
        <v>42641</v>
      </c>
      <c r="B288" s="22"/>
      <c r="C288" s="25">
        <f>ROUND(15.2321,4)</f>
        <v>15.2321</v>
      </c>
      <c r="D288" s="25">
        <f>F288</f>
        <v>15.8808</v>
      </c>
      <c r="E288" s="25">
        <f>F288</f>
        <v>15.8808</v>
      </c>
      <c r="F288" s="25">
        <f>ROUND(15.8808,4)</f>
        <v>15.8808</v>
      </c>
      <c r="G288" s="24"/>
      <c r="H288" s="36"/>
    </row>
    <row r="289" spans="1:8" ht="12.75" customHeight="1">
      <c r="A289" s="22">
        <v>42669</v>
      </c>
      <c r="B289" s="22"/>
      <c r="C289" s="25">
        <f>ROUND(15.2321,4)</f>
        <v>15.2321</v>
      </c>
      <c r="D289" s="25">
        <f>F289</f>
        <v>15.9691</v>
      </c>
      <c r="E289" s="25">
        <f>F289</f>
        <v>15.9691</v>
      </c>
      <c r="F289" s="25">
        <f>ROUND(15.9691,4)</f>
        <v>15.9691</v>
      </c>
      <c r="G289" s="24"/>
      <c r="H289" s="36"/>
    </row>
    <row r="290" spans="1:8" ht="12.75" customHeight="1">
      <c r="A290" s="22">
        <v>42702</v>
      </c>
      <c r="B290" s="22"/>
      <c r="C290" s="25">
        <f>ROUND(15.2321,4)</f>
        <v>15.2321</v>
      </c>
      <c r="D290" s="25">
        <f>F290</f>
        <v>16.0734</v>
      </c>
      <c r="E290" s="25">
        <f>F290</f>
        <v>16.0734</v>
      </c>
      <c r="F290" s="25">
        <f>ROUND(16.0734,4)</f>
        <v>16.0734</v>
      </c>
      <c r="G290" s="24"/>
      <c r="H290" s="36"/>
    </row>
    <row r="291" spans="1:8" ht="12.75" customHeight="1">
      <c r="A291" s="22">
        <v>42718</v>
      </c>
      <c r="B291" s="22"/>
      <c r="C291" s="25">
        <f>ROUND(15.2321,4)</f>
        <v>15.2321</v>
      </c>
      <c r="D291" s="25">
        <f>F291</f>
        <v>16.1253</v>
      </c>
      <c r="E291" s="25">
        <f>F291</f>
        <v>16.1253</v>
      </c>
      <c r="F291" s="25">
        <f>ROUND(16.1253,4)</f>
        <v>16.1253</v>
      </c>
      <c r="G291" s="24"/>
      <c r="H291" s="36"/>
    </row>
    <row r="292" spans="1:8" ht="12.75" customHeight="1">
      <c r="A292" s="22" t="s">
        <v>63</v>
      </c>
      <c r="B292" s="22"/>
      <c r="C292" s="23"/>
      <c r="D292" s="23"/>
      <c r="E292" s="23"/>
      <c r="F292" s="23"/>
      <c r="G292" s="24"/>
      <c r="H292" s="36"/>
    </row>
    <row r="293" spans="1:8" ht="12.75" customHeight="1">
      <c r="A293" s="22">
        <v>42443</v>
      </c>
      <c r="B293" s="22"/>
      <c r="C293" s="25">
        <f>ROUND(1.1019,4)</f>
        <v>1.1019</v>
      </c>
      <c r="D293" s="25">
        <f>F293</f>
        <v>1.1023</v>
      </c>
      <c r="E293" s="25">
        <f>F293</f>
        <v>1.1023</v>
      </c>
      <c r="F293" s="25">
        <f>ROUND(1.1023,4)</f>
        <v>1.1023</v>
      </c>
      <c r="G293" s="24"/>
      <c r="H293" s="36"/>
    </row>
    <row r="294" spans="1:8" ht="12.75" customHeight="1">
      <c r="A294" s="22">
        <v>42534</v>
      </c>
      <c r="B294" s="22"/>
      <c r="C294" s="25">
        <f>ROUND(1.1019,4)</f>
        <v>1.1019</v>
      </c>
      <c r="D294" s="25">
        <f>F294</f>
        <v>1.1055</v>
      </c>
      <c r="E294" s="25">
        <f>F294</f>
        <v>1.1055</v>
      </c>
      <c r="F294" s="25">
        <f>ROUND(1.1055,4)</f>
        <v>1.1055</v>
      </c>
      <c r="G294" s="24"/>
      <c r="H294" s="36"/>
    </row>
    <row r="295" spans="1:8" ht="12.75" customHeight="1">
      <c r="A295" s="22">
        <v>42632</v>
      </c>
      <c r="B295" s="22"/>
      <c r="C295" s="25">
        <f>ROUND(1.1019,4)</f>
        <v>1.1019</v>
      </c>
      <c r="D295" s="25">
        <f>F295</f>
        <v>1.1094</v>
      </c>
      <c r="E295" s="25">
        <f>F295</f>
        <v>1.1094</v>
      </c>
      <c r="F295" s="25">
        <f>ROUND(1.1094,4)</f>
        <v>1.1094</v>
      </c>
      <c r="G295" s="24"/>
      <c r="H295" s="36"/>
    </row>
    <row r="296" spans="1:8" ht="12.75" customHeight="1">
      <c r="A296" s="22">
        <v>42723</v>
      </c>
      <c r="B296" s="22"/>
      <c r="C296" s="25">
        <f>ROUND(1.1019,4)</f>
        <v>1.1019</v>
      </c>
      <c r="D296" s="25">
        <f>F296</f>
        <v>1.1134</v>
      </c>
      <c r="E296" s="25">
        <f>F296</f>
        <v>1.1134</v>
      </c>
      <c r="F296" s="25">
        <f>ROUND(1.1134,4)</f>
        <v>1.1134</v>
      </c>
      <c r="G296" s="24"/>
      <c r="H296" s="36"/>
    </row>
    <row r="297" spans="1:8" ht="12.75" customHeight="1">
      <c r="A297" s="22" t="s">
        <v>64</v>
      </c>
      <c r="B297" s="22"/>
      <c r="C297" s="23"/>
      <c r="D297" s="23"/>
      <c r="E297" s="23"/>
      <c r="F297" s="23"/>
      <c r="G297" s="24"/>
      <c r="H297" s="36"/>
    </row>
    <row r="298" spans="1:8" ht="12.75" customHeight="1">
      <c r="A298" s="22">
        <v>42443</v>
      </c>
      <c r="B298" s="22"/>
      <c r="C298" s="25">
        <f>ROUND(11.00366904,4)</f>
        <v>11.0037</v>
      </c>
      <c r="D298" s="25">
        <f>F298</f>
        <v>11.0349</v>
      </c>
      <c r="E298" s="25">
        <f>F298</f>
        <v>11.0349</v>
      </c>
      <c r="F298" s="25">
        <f>ROUND(11.0349,4)</f>
        <v>11.0349</v>
      </c>
      <c r="G298" s="24"/>
      <c r="H298" s="36"/>
    </row>
    <row r="299" spans="1:8" ht="12.75" customHeight="1">
      <c r="A299" s="22">
        <v>42534</v>
      </c>
      <c r="B299" s="22"/>
      <c r="C299" s="25">
        <f>ROUND(11.00366904,4)</f>
        <v>11.0037</v>
      </c>
      <c r="D299" s="25">
        <f>F299</f>
        <v>11.1797</v>
      </c>
      <c r="E299" s="25">
        <f>F299</f>
        <v>11.1797</v>
      </c>
      <c r="F299" s="25">
        <f>ROUND(11.1797,4)</f>
        <v>11.1797</v>
      </c>
      <c r="G299" s="24"/>
      <c r="H299" s="36"/>
    </row>
    <row r="300" spans="1:8" ht="12.75" customHeight="1">
      <c r="A300" s="22">
        <v>42632</v>
      </c>
      <c r="B300" s="22"/>
      <c r="C300" s="25">
        <f>ROUND(11.00366904,4)</f>
        <v>11.0037</v>
      </c>
      <c r="D300" s="25">
        <f>F300</f>
        <v>11.3481</v>
      </c>
      <c r="E300" s="25">
        <f>F300</f>
        <v>11.3481</v>
      </c>
      <c r="F300" s="25">
        <f>ROUND(11.3481,4)</f>
        <v>11.3481</v>
      </c>
      <c r="G300" s="24"/>
      <c r="H300" s="36"/>
    </row>
    <row r="301" spans="1:8" ht="12.75" customHeight="1">
      <c r="A301" s="22">
        <v>42723</v>
      </c>
      <c r="B301" s="22"/>
      <c r="C301" s="25">
        <f>ROUND(11.00366904,4)</f>
        <v>11.0037</v>
      </c>
      <c r="D301" s="25">
        <f>F301</f>
        <v>11.5142</v>
      </c>
      <c r="E301" s="25">
        <f>F301</f>
        <v>11.5142</v>
      </c>
      <c r="F301" s="25">
        <f>ROUND(11.5142,4)</f>
        <v>11.5142</v>
      </c>
      <c r="G301" s="24"/>
      <c r="H301" s="36"/>
    </row>
    <row r="302" spans="1:8" ht="12.75" customHeight="1">
      <c r="A302" s="22">
        <v>42807</v>
      </c>
      <c r="B302" s="22"/>
      <c r="C302" s="25">
        <f>ROUND(11.00366904,4)</f>
        <v>11.0037</v>
      </c>
      <c r="D302" s="25">
        <f>F302</f>
        <v>11.6626</v>
      </c>
      <c r="E302" s="25">
        <f>F302</f>
        <v>11.6626</v>
      </c>
      <c r="F302" s="25">
        <f>ROUND(11.6626,4)</f>
        <v>11.6626</v>
      </c>
      <c r="G302" s="24"/>
      <c r="H302" s="36"/>
    </row>
    <row r="303" spans="1:8" ht="12.75" customHeight="1">
      <c r="A303" s="22">
        <v>42905</v>
      </c>
      <c r="B303" s="22"/>
      <c r="C303" s="25">
        <f>ROUND(11.00366904,4)</f>
        <v>11.0037</v>
      </c>
      <c r="D303" s="25">
        <f>F303</f>
        <v>11.7877</v>
      </c>
      <c r="E303" s="25">
        <f>F303</f>
        <v>11.7877</v>
      </c>
      <c r="F303" s="25">
        <f>ROUND(11.7877,4)</f>
        <v>11.7877</v>
      </c>
      <c r="G303" s="24"/>
      <c r="H303" s="36"/>
    </row>
    <row r="304" spans="1:8" ht="12.75" customHeight="1">
      <c r="A304" s="22">
        <v>42996</v>
      </c>
      <c r="B304" s="22"/>
      <c r="C304" s="25">
        <f>ROUND(11.00366904,4)</f>
        <v>11.0037</v>
      </c>
      <c r="D304" s="25">
        <f>F304</f>
        <v>11.9042</v>
      </c>
      <c r="E304" s="25">
        <f>F304</f>
        <v>11.9042</v>
      </c>
      <c r="F304" s="25">
        <f>ROUND(11.9042,4)</f>
        <v>11.9042</v>
      </c>
      <c r="G304" s="24"/>
      <c r="H304" s="36"/>
    </row>
    <row r="305" spans="1:8" ht="12.75" customHeight="1">
      <c r="A305" s="22" t="s">
        <v>65</v>
      </c>
      <c r="B305" s="22"/>
      <c r="C305" s="23"/>
      <c r="D305" s="23"/>
      <c r="E305" s="23"/>
      <c r="F305" s="23"/>
      <c r="G305" s="24"/>
      <c r="H305" s="36"/>
    </row>
    <row r="306" spans="1:8" ht="12.75" customHeight="1">
      <c r="A306" s="22">
        <v>42443</v>
      </c>
      <c r="B306" s="22"/>
      <c r="C306" s="25">
        <f>ROUND(4.14693310827367,4)</f>
        <v>4.1469</v>
      </c>
      <c r="D306" s="25">
        <f>F306</f>
        <v>4.5865</v>
      </c>
      <c r="E306" s="25">
        <f>F306</f>
        <v>4.5865</v>
      </c>
      <c r="F306" s="25">
        <f>ROUND(4.5865,4)</f>
        <v>4.5865</v>
      </c>
      <c r="G306" s="24"/>
      <c r="H306" s="36"/>
    </row>
    <row r="307" spans="1:8" ht="12.75" customHeight="1">
      <c r="A307" s="22">
        <v>42534</v>
      </c>
      <c r="B307" s="22"/>
      <c r="C307" s="25">
        <f>ROUND(4.14693310827367,4)</f>
        <v>4.1469</v>
      </c>
      <c r="D307" s="25">
        <f>F307</f>
        <v>4.6452</v>
      </c>
      <c r="E307" s="25">
        <f>F307</f>
        <v>4.6452</v>
      </c>
      <c r="F307" s="25">
        <f>ROUND(4.6452,4)</f>
        <v>4.6452</v>
      </c>
      <c r="G307" s="24"/>
      <c r="H307" s="36"/>
    </row>
    <row r="308" spans="1:8" ht="12.75" customHeight="1">
      <c r="A308" s="22">
        <v>42632</v>
      </c>
      <c r="B308" s="22"/>
      <c r="C308" s="25">
        <f>ROUND(4.14693310827367,4)</f>
        <v>4.1469</v>
      </c>
      <c r="D308" s="25">
        <f>F308</f>
        <v>4.7058</v>
      </c>
      <c r="E308" s="25">
        <f>F308</f>
        <v>4.7058</v>
      </c>
      <c r="F308" s="25">
        <f>ROUND(4.7058,4)</f>
        <v>4.7058</v>
      </c>
      <c r="G308" s="24"/>
      <c r="H308" s="36"/>
    </row>
    <row r="309" spans="1:8" ht="12.75" customHeight="1">
      <c r="A309" s="22" t="s">
        <v>66</v>
      </c>
      <c r="B309" s="22"/>
      <c r="C309" s="23"/>
      <c r="D309" s="23"/>
      <c r="E309" s="23"/>
      <c r="F309" s="23"/>
      <c r="G309" s="24"/>
      <c r="H309" s="36"/>
    </row>
    <row r="310" spans="1:8" ht="12.75" customHeight="1">
      <c r="A310" s="22">
        <v>42443</v>
      </c>
      <c r="B310" s="22"/>
      <c r="C310" s="25">
        <f>ROUND(1.36784258,4)</f>
        <v>1.3678</v>
      </c>
      <c r="D310" s="25">
        <f>F310</f>
        <v>1.3715</v>
      </c>
      <c r="E310" s="25">
        <f>F310</f>
        <v>1.3715</v>
      </c>
      <c r="F310" s="25">
        <f>ROUND(1.3715,4)</f>
        <v>1.3715</v>
      </c>
      <c r="G310" s="24"/>
      <c r="H310" s="36"/>
    </row>
    <row r="311" spans="1:8" ht="12.75" customHeight="1">
      <c r="A311" s="22">
        <v>42534</v>
      </c>
      <c r="B311" s="22"/>
      <c r="C311" s="25">
        <f>ROUND(1.36784258,4)</f>
        <v>1.3678</v>
      </c>
      <c r="D311" s="25">
        <f>F311</f>
        <v>1.3866</v>
      </c>
      <c r="E311" s="25">
        <f>F311</f>
        <v>1.3866</v>
      </c>
      <c r="F311" s="25">
        <f>ROUND(1.3866,4)</f>
        <v>1.3866</v>
      </c>
      <c r="G311" s="24"/>
      <c r="H311" s="36"/>
    </row>
    <row r="312" spans="1:8" ht="12.75" customHeight="1">
      <c r="A312" s="22">
        <v>42632</v>
      </c>
      <c r="B312" s="22"/>
      <c r="C312" s="25">
        <f>ROUND(1.36784258,4)</f>
        <v>1.3678</v>
      </c>
      <c r="D312" s="25">
        <f>F312</f>
        <v>1.4019</v>
      </c>
      <c r="E312" s="25">
        <f>F312</f>
        <v>1.4019</v>
      </c>
      <c r="F312" s="25">
        <f>ROUND(1.4019,4)</f>
        <v>1.4019</v>
      </c>
      <c r="G312" s="24"/>
      <c r="H312" s="36"/>
    </row>
    <row r="313" spans="1:8" ht="12.75" customHeight="1">
      <c r="A313" s="22">
        <v>42723</v>
      </c>
      <c r="B313" s="22"/>
      <c r="C313" s="25">
        <f>ROUND(1.36784258,4)</f>
        <v>1.3678</v>
      </c>
      <c r="D313" s="25">
        <f>F313</f>
        <v>1.4158</v>
      </c>
      <c r="E313" s="25">
        <f>F313</f>
        <v>1.4158</v>
      </c>
      <c r="F313" s="25">
        <f>ROUND(1.4158,4)</f>
        <v>1.4158</v>
      </c>
      <c r="G313" s="24"/>
      <c r="H313" s="36"/>
    </row>
    <row r="314" spans="1:8" ht="12.75" customHeight="1">
      <c r="A314" s="22" t="s">
        <v>67</v>
      </c>
      <c r="B314" s="22"/>
      <c r="C314" s="23"/>
      <c r="D314" s="23"/>
      <c r="E314" s="23"/>
      <c r="F314" s="23"/>
      <c r="G314" s="24"/>
      <c r="H314" s="36"/>
    </row>
    <row r="315" spans="1:8" ht="12.75" customHeight="1">
      <c r="A315" s="22">
        <v>42443</v>
      </c>
      <c r="B315" s="22"/>
      <c r="C315" s="25">
        <f>ROUND(11.124004966041,4)</f>
        <v>11.124</v>
      </c>
      <c r="D315" s="25">
        <f>F315</f>
        <v>11.1634</v>
      </c>
      <c r="E315" s="25">
        <f>F315</f>
        <v>11.1634</v>
      </c>
      <c r="F315" s="25">
        <f>ROUND(11.1634,4)</f>
        <v>11.1634</v>
      </c>
      <c r="G315" s="24"/>
      <c r="H315" s="36"/>
    </row>
    <row r="316" spans="1:8" ht="12.75" customHeight="1">
      <c r="A316" s="22">
        <v>42534</v>
      </c>
      <c r="B316" s="22"/>
      <c r="C316" s="25">
        <f>ROUND(11.124004966041,4)</f>
        <v>11.124</v>
      </c>
      <c r="D316" s="25">
        <f>F316</f>
        <v>11.3603</v>
      </c>
      <c r="E316" s="25">
        <f>F316</f>
        <v>11.3603</v>
      </c>
      <c r="F316" s="25">
        <f>ROUND(11.3603,4)</f>
        <v>11.3603</v>
      </c>
      <c r="G316" s="24"/>
      <c r="H316" s="36"/>
    </row>
    <row r="317" spans="1:8" ht="12.75" customHeight="1">
      <c r="A317" s="22">
        <v>42632</v>
      </c>
      <c r="B317" s="22"/>
      <c r="C317" s="25">
        <f>ROUND(11.124004966041,4)</f>
        <v>11.124</v>
      </c>
      <c r="D317" s="25">
        <f>F317</f>
        <v>11.5834</v>
      </c>
      <c r="E317" s="25">
        <f>F317</f>
        <v>11.5834</v>
      </c>
      <c r="F317" s="25">
        <f>ROUND(11.5834,4)</f>
        <v>11.5834</v>
      </c>
      <c r="G317" s="24"/>
      <c r="H317" s="36"/>
    </row>
    <row r="318" spans="1:8" ht="12.75" customHeight="1">
      <c r="A318" s="22">
        <v>42723</v>
      </c>
      <c r="B318" s="22"/>
      <c r="C318" s="25">
        <f>ROUND(11.124004966041,4)</f>
        <v>11.124</v>
      </c>
      <c r="D318" s="25">
        <f>F318</f>
        <v>11.8002</v>
      </c>
      <c r="E318" s="25">
        <f>F318</f>
        <v>11.8002</v>
      </c>
      <c r="F318" s="25">
        <f>ROUND(11.8002,4)</f>
        <v>11.8002</v>
      </c>
      <c r="G318" s="24"/>
      <c r="H318" s="36"/>
    </row>
    <row r="319" spans="1:8" ht="12.75" customHeight="1">
      <c r="A319" s="22" t="s">
        <v>68</v>
      </c>
      <c r="B319" s="22"/>
      <c r="C319" s="23"/>
      <c r="D319" s="23"/>
      <c r="E319" s="23"/>
      <c r="F319" s="23"/>
      <c r="G319" s="24"/>
      <c r="H319" s="36"/>
    </row>
    <row r="320" spans="1:8" ht="12.75" customHeight="1">
      <c r="A320" s="22">
        <v>42443</v>
      </c>
      <c r="B320" s="22"/>
      <c r="C320" s="25">
        <f>ROUND(2.34240487902052,4)</f>
        <v>2.3424</v>
      </c>
      <c r="D320" s="25">
        <f>F320</f>
        <v>2.3368</v>
      </c>
      <c r="E320" s="25">
        <f>F320</f>
        <v>2.3368</v>
      </c>
      <c r="F320" s="25">
        <f>ROUND(2.3368,4)</f>
        <v>2.3368</v>
      </c>
      <c r="G320" s="24"/>
      <c r="H320" s="36"/>
    </row>
    <row r="321" spans="1:8" ht="12.75" customHeight="1">
      <c r="A321" s="22">
        <v>42534</v>
      </c>
      <c r="B321" s="22"/>
      <c r="C321" s="25">
        <f>ROUND(2.34240487902052,4)</f>
        <v>2.3424</v>
      </c>
      <c r="D321" s="25">
        <f>F321</f>
        <v>2.3506</v>
      </c>
      <c r="E321" s="25">
        <f>F321</f>
        <v>2.3506</v>
      </c>
      <c r="F321" s="25">
        <f>ROUND(2.3506,4)</f>
        <v>2.3506</v>
      </c>
      <c r="G321" s="24"/>
      <c r="H321" s="36"/>
    </row>
    <row r="322" spans="1:8" ht="12.75" customHeight="1">
      <c r="A322" s="22">
        <v>42632</v>
      </c>
      <c r="B322" s="22"/>
      <c r="C322" s="25">
        <f>ROUND(2.34240487902052,4)</f>
        <v>2.3424</v>
      </c>
      <c r="D322" s="25">
        <f>F322</f>
        <v>2.374</v>
      </c>
      <c r="E322" s="25">
        <f>F322</f>
        <v>2.374</v>
      </c>
      <c r="F322" s="25">
        <f>ROUND(2.374,4)</f>
        <v>2.374</v>
      </c>
      <c r="G322" s="24"/>
      <c r="H322" s="36"/>
    </row>
    <row r="323" spans="1:8" ht="12.75" customHeight="1">
      <c r="A323" s="22">
        <v>42723</v>
      </c>
      <c r="B323" s="22"/>
      <c r="C323" s="25">
        <f>ROUND(2.34240487902052,4)</f>
        <v>2.3424</v>
      </c>
      <c r="D323" s="25">
        <f>F323</f>
        <v>2.3994</v>
      </c>
      <c r="E323" s="25">
        <f>F323</f>
        <v>2.3994</v>
      </c>
      <c r="F323" s="25">
        <f>ROUND(2.3994,4)</f>
        <v>2.3994</v>
      </c>
      <c r="G323" s="24"/>
      <c r="H323" s="36"/>
    </row>
    <row r="324" spans="1:8" ht="12.75" customHeight="1">
      <c r="A324" s="22" t="s">
        <v>69</v>
      </c>
      <c r="B324" s="22"/>
      <c r="C324" s="23"/>
      <c r="D324" s="23"/>
      <c r="E324" s="23"/>
      <c r="F324" s="23"/>
      <c r="G324" s="24"/>
      <c r="H324" s="36"/>
    </row>
    <row r="325" spans="1:8" ht="12.75" customHeight="1">
      <c r="A325" s="22">
        <v>42443</v>
      </c>
      <c r="B325" s="22"/>
      <c r="C325" s="25">
        <f>ROUND(2.24924321849943,4)</f>
        <v>2.2492</v>
      </c>
      <c r="D325" s="25">
        <f>F325</f>
        <v>2.2602</v>
      </c>
      <c r="E325" s="25">
        <f>F325</f>
        <v>2.2602</v>
      </c>
      <c r="F325" s="25">
        <f>ROUND(2.2602,4)</f>
        <v>2.2602</v>
      </c>
      <c r="G325" s="24"/>
      <c r="H325" s="36"/>
    </row>
    <row r="326" spans="1:8" ht="12.75" customHeight="1">
      <c r="A326" s="22">
        <v>42534</v>
      </c>
      <c r="B326" s="22"/>
      <c r="C326" s="25">
        <f>ROUND(2.24924321849943,4)</f>
        <v>2.2492</v>
      </c>
      <c r="D326" s="25">
        <f>F326</f>
        <v>2.3065</v>
      </c>
      <c r="E326" s="25">
        <f>F326</f>
        <v>2.3065</v>
      </c>
      <c r="F326" s="25">
        <f>ROUND(2.3065,4)</f>
        <v>2.3065</v>
      </c>
      <c r="G326" s="24"/>
      <c r="H326" s="36"/>
    </row>
    <row r="327" spans="1:8" ht="12.75" customHeight="1">
      <c r="A327" s="22">
        <v>42632</v>
      </c>
      <c r="B327" s="22"/>
      <c r="C327" s="25">
        <f>ROUND(2.24924321849943,4)</f>
        <v>2.2492</v>
      </c>
      <c r="D327" s="25">
        <f>F327</f>
        <v>2.3598</v>
      </c>
      <c r="E327" s="25">
        <f>F327</f>
        <v>2.3598</v>
      </c>
      <c r="F327" s="25">
        <f>ROUND(2.3598,4)</f>
        <v>2.3598</v>
      </c>
      <c r="G327" s="24"/>
      <c r="H327" s="36"/>
    </row>
    <row r="328" spans="1:8" ht="12.75" customHeight="1">
      <c r="A328" s="22" t="s">
        <v>70</v>
      </c>
      <c r="B328" s="22"/>
      <c r="C328" s="23"/>
      <c r="D328" s="23"/>
      <c r="E328" s="23"/>
      <c r="F328" s="23"/>
      <c r="G328" s="24"/>
      <c r="H328" s="36"/>
    </row>
    <row r="329" spans="1:8" ht="12.75" customHeight="1">
      <c r="A329" s="22">
        <v>42443</v>
      </c>
      <c r="B329" s="22"/>
      <c r="C329" s="25">
        <f>ROUND(16.78425099,4)</f>
        <v>16.7843</v>
      </c>
      <c r="D329" s="25">
        <f>F329</f>
        <v>16.8504</v>
      </c>
      <c r="E329" s="25">
        <f>F329</f>
        <v>16.8504</v>
      </c>
      <c r="F329" s="25">
        <f>ROUND(16.8504,4)</f>
        <v>16.8504</v>
      </c>
      <c r="G329" s="24"/>
      <c r="H329" s="36"/>
    </row>
    <row r="330" spans="1:8" ht="12.75" customHeight="1">
      <c r="A330" s="22">
        <v>42534</v>
      </c>
      <c r="B330" s="22"/>
      <c r="C330" s="25">
        <f>ROUND(16.78425099,4)</f>
        <v>16.7843</v>
      </c>
      <c r="D330" s="25">
        <f>F330</f>
        <v>17.1949</v>
      </c>
      <c r="E330" s="25">
        <f>F330</f>
        <v>17.1949</v>
      </c>
      <c r="F330" s="25">
        <f>ROUND(17.1949,4)</f>
        <v>17.1949</v>
      </c>
      <c r="G330" s="24"/>
      <c r="H330" s="36"/>
    </row>
    <row r="331" spans="1:8" ht="12.75" customHeight="1">
      <c r="A331" s="22">
        <v>42632</v>
      </c>
      <c r="B331" s="22"/>
      <c r="C331" s="25">
        <f>ROUND(16.78425099,4)</f>
        <v>16.7843</v>
      </c>
      <c r="D331" s="25">
        <f>F331</f>
        <v>17.587</v>
      </c>
      <c r="E331" s="25">
        <f>F331</f>
        <v>17.587</v>
      </c>
      <c r="F331" s="25">
        <f>ROUND(17.587,4)</f>
        <v>17.587</v>
      </c>
      <c r="G331" s="24"/>
      <c r="H331" s="36"/>
    </row>
    <row r="332" spans="1:8" ht="12.75" customHeight="1">
      <c r="A332" s="22">
        <v>42723</v>
      </c>
      <c r="B332" s="22"/>
      <c r="C332" s="25">
        <f>ROUND(16.78425099,4)</f>
        <v>16.7843</v>
      </c>
      <c r="D332" s="25">
        <f>F332</f>
        <v>17.9722</v>
      </c>
      <c r="E332" s="25">
        <f>F332</f>
        <v>17.9722</v>
      </c>
      <c r="F332" s="25">
        <f>ROUND(17.9722,4)</f>
        <v>17.9722</v>
      </c>
      <c r="G332" s="24"/>
      <c r="H332" s="36"/>
    </row>
    <row r="333" spans="1:8" ht="12.75" customHeight="1">
      <c r="A333" s="22">
        <v>42807</v>
      </c>
      <c r="B333" s="22"/>
      <c r="C333" s="25">
        <f>ROUND(16.78425099,4)</f>
        <v>16.7843</v>
      </c>
      <c r="D333" s="25">
        <f>F333</f>
        <v>18.3191</v>
      </c>
      <c r="E333" s="25">
        <f>F333</f>
        <v>18.3191</v>
      </c>
      <c r="F333" s="25">
        <f>ROUND(18.3191,4)</f>
        <v>18.3191</v>
      </c>
      <c r="G333" s="24"/>
      <c r="H333" s="36"/>
    </row>
    <row r="334" spans="1:8" ht="12.75" customHeight="1">
      <c r="A334" s="22">
        <v>42905</v>
      </c>
      <c r="B334" s="22"/>
      <c r="C334" s="25">
        <f>ROUND(16.78425099,4)</f>
        <v>16.7843</v>
      </c>
      <c r="D334" s="25">
        <f>F334</f>
        <v>18.6407</v>
      </c>
      <c r="E334" s="25">
        <f>F334</f>
        <v>18.6407</v>
      </c>
      <c r="F334" s="25">
        <f>ROUND(18.6407,4)</f>
        <v>18.6407</v>
      </c>
      <c r="G334" s="24"/>
      <c r="H334" s="36"/>
    </row>
    <row r="335" spans="1:8" ht="12.75" customHeight="1">
      <c r="A335" s="22">
        <v>42996</v>
      </c>
      <c r="B335" s="22"/>
      <c r="C335" s="25">
        <f>ROUND(16.78425099,4)</f>
        <v>16.7843</v>
      </c>
      <c r="D335" s="25">
        <f>F335</f>
        <v>18.9962</v>
      </c>
      <c r="E335" s="25">
        <f>F335</f>
        <v>18.9962</v>
      </c>
      <c r="F335" s="25">
        <f>ROUND(18.9962,4)</f>
        <v>18.9962</v>
      </c>
      <c r="G335" s="24"/>
      <c r="H335" s="36"/>
    </row>
    <row r="336" spans="1:8" ht="12.75" customHeight="1">
      <c r="A336" s="22" t="s">
        <v>71</v>
      </c>
      <c r="B336" s="22"/>
      <c r="C336" s="23"/>
      <c r="D336" s="23"/>
      <c r="E336" s="23"/>
      <c r="F336" s="23"/>
      <c r="G336" s="24"/>
      <c r="H336" s="36"/>
    </row>
    <row r="337" spans="1:8" ht="12.75" customHeight="1">
      <c r="A337" s="22">
        <v>42443</v>
      </c>
      <c r="B337" s="22"/>
      <c r="C337" s="25">
        <f>ROUND(15.2580386657317,4)</f>
        <v>15.258</v>
      </c>
      <c r="D337" s="25">
        <f>F337</f>
        <v>15.3215</v>
      </c>
      <c r="E337" s="25">
        <f>F337</f>
        <v>15.3215</v>
      </c>
      <c r="F337" s="25">
        <f>ROUND(15.3215,4)</f>
        <v>15.3215</v>
      </c>
      <c r="G337" s="24"/>
      <c r="H337" s="36"/>
    </row>
    <row r="338" spans="1:8" ht="12.75" customHeight="1">
      <c r="A338" s="22">
        <v>42534</v>
      </c>
      <c r="B338" s="22"/>
      <c r="C338" s="25">
        <f>ROUND(15.2580386657317,4)</f>
        <v>15.258</v>
      </c>
      <c r="D338" s="25">
        <f>F338</f>
        <v>15.6612</v>
      </c>
      <c r="E338" s="25">
        <f>F338</f>
        <v>15.6612</v>
      </c>
      <c r="F338" s="25">
        <f>ROUND(15.6612,4)</f>
        <v>15.6612</v>
      </c>
      <c r="G338" s="24"/>
      <c r="H338" s="36"/>
    </row>
    <row r="339" spans="1:8" ht="12.75" customHeight="1">
      <c r="A339" s="22">
        <v>42632</v>
      </c>
      <c r="B339" s="22"/>
      <c r="C339" s="25">
        <f>ROUND(15.2580386657317,4)</f>
        <v>15.258</v>
      </c>
      <c r="D339" s="25">
        <f>F339</f>
        <v>16.0517</v>
      </c>
      <c r="E339" s="25">
        <f>F339</f>
        <v>16.0517</v>
      </c>
      <c r="F339" s="25">
        <f>ROUND(16.0517,4)</f>
        <v>16.0517</v>
      </c>
      <c r="G339" s="24"/>
      <c r="H339" s="36"/>
    </row>
    <row r="340" spans="1:8" ht="12.75" customHeight="1">
      <c r="A340" s="22">
        <v>42723</v>
      </c>
      <c r="B340" s="22"/>
      <c r="C340" s="25">
        <f>ROUND(15.2580386657317,4)</f>
        <v>15.258</v>
      </c>
      <c r="D340" s="25">
        <f>F340</f>
        <v>16.4339</v>
      </c>
      <c r="E340" s="25">
        <f>F340</f>
        <v>16.4339</v>
      </c>
      <c r="F340" s="25">
        <f>ROUND(16.4339,4)</f>
        <v>16.4339</v>
      </c>
      <c r="G340" s="24"/>
      <c r="H340" s="36"/>
    </row>
    <row r="341" spans="1:8" ht="12.75" customHeight="1">
      <c r="A341" s="22">
        <v>42807</v>
      </c>
      <c r="B341" s="22"/>
      <c r="C341" s="25">
        <f>ROUND(15.2580386657317,4)</f>
        <v>15.258</v>
      </c>
      <c r="D341" s="25">
        <f>F341</f>
        <v>16.7784</v>
      </c>
      <c r="E341" s="25">
        <f>F341</f>
        <v>16.7784</v>
      </c>
      <c r="F341" s="25">
        <f>ROUND(16.7784,4)</f>
        <v>16.7784</v>
      </c>
      <c r="G341" s="24"/>
      <c r="H341" s="36"/>
    </row>
    <row r="342" spans="1:8" ht="12.75" customHeight="1">
      <c r="A342" s="22" t="s">
        <v>72</v>
      </c>
      <c r="B342" s="22"/>
      <c r="C342" s="23"/>
      <c r="D342" s="23"/>
      <c r="E342" s="23"/>
      <c r="F342" s="23"/>
      <c r="G342" s="24"/>
      <c r="H342" s="36"/>
    </row>
    <row r="343" spans="1:8" ht="12.75" customHeight="1">
      <c r="A343" s="22">
        <v>42443</v>
      </c>
      <c r="B343" s="22"/>
      <c r="C343" s="25">
        <f>ROUND(21.50315557,4)</f>
        <v>21.5032</v>
      </c>
      <c r="D343" s="25">
        <f>F343</f>
        <v>21.5801</v>
      </c>
      <c r="E343" s="25">
        <f>F343</f>
        <v>21.5801</v>
      </c>
      <c r="F343" s="25">
        <f>ROUND(21.5801,4)</f>
        <v>21.5801</v>
      </c>
      <c r="G343" s="24"/>
      <c r="H343" s="36"/>
    </row>
    <row r="344" spans="1:8" ht="12.75" customHeight="1">
      <c r="A344" s="22">
        <v>42534</v>
      </c>
      <c r="B344" s="22"/>
      <c r="C344" s="25">
        <f>ROUND(21.50315557,4)</f>
        <v>21.5032</v>
      </c>
      <c r="D344" s="25">
        <f>F344</f>
        <v>21.9655</v>
      </c>
      <c r="E344" s="25">
        <f>F344</f>
        <v>21.9655</v>
      </c>
      <c r="F344" s="25">
        <f>ROUND(21.9655,4)</f>
        <v>21.9655</v>
      </c>
      <c r="G344" s="24"/>
      <c r="H344" s="36"/>
    </row>
    <row r="345" spans="1:8" ht="12.75" customHeight="1">
      <c r="A345" s="22">
        <v>42632</v>
      </c>
      <c r="B345" s="22"/>
      <c r="C345" s="25">
        <f>ROUND(21.50315557,4)</f>
        <v>21.5032</v>
      </c>
      <c r="D345" s="25">
        <f>F345</f>
        <v>22.4039</v>
      </c>
      <c r="E345" s="25">
        <f>F345</f>
        <v>22.4039</v>
      </c>
      <c r="F345" s="25">
        <f>ROUND(22.4039,4)</f>
        <v>22.4039</v>
      </c>
      <c r="G345" s="24"/>
      <c r="H345" s="36"/>
    </row>
    <row r="346" spans="1:8" ht="12.75" customHeight="1">
      <c r="A346" s="22">
        <v>42723</v>
      </c>
      <c r="B346" s="22"/>
      <c r="C346" s="25">
        <f>ROUND(21.50315557,4)</f>
        <v>21.5032</v>
      </c>
      <c r="D346" s="25">
        <f>F346</f>
        <v>22.8316</v>
      </c>
      <c r="E346" s="25">
        <f>F346</f>
        <v>22.8316</v>
      </c>
      <c r="F346" s="25">
        <f>ROUND(22.8316,4)</f>
        <v>22.8316</v>
      </c>
      <c r="G346" s="24"/>
      <c r="H346" s="36"/>
    </row>
    <row r="347" spans="1:8" ht="12.75" customHeight="1">
      <c r="A347" s="22">
        <v>42807</v>
      </c>
      <c r="B347" s="22"/>
      <c r="C347" s="25">
        <f>ROUND(21.50315557,4)</f>
        <v>21.5032</v>
      </c>
      <c r="D347" s="25">
        <f>F347</f>
        <v>23.2173</v>
      </c>
      <c r="E347" s="25">
        <f>F347</f>
        <v>23.2173</v>
      </c>
      <c r="F347" s="25">
        <f>ROUND(23.2173,4)</f>
        <v>23.2173</v>
      </c>
      <c r="G347" s="24"/>
      <c r="H347" s="36"/>
    </row>
    <row r="348" spans="1:8" ht="12.75" customHeight="1">
      <c r="A348" s="22">
        <v>42905</v>
      </c>
      <c r="B348" s="22"/>
      <c r="C348" s="25">
        <f>ROUND(21.50315557,4)</f>
        <v>21.5032</v>
      </c>
      <c r="D348" s="25">
        <f>F348</f>
        <v>23.5696</v>
      </c>
      <c r="E348" s="25">
        <f>F348</f>
        <v>23.5696</v>
      </c>
      <c r="F348" s="25">
        <f>ROUND(23.5696,4)</f>
        <v>23.5696</v>
      </c>
      <c r="G348" s="24"/>
      <c r="H348" s="36"/>
    </row>
    <row r="349" spans="1:8" ht="12.75" customHeight="1">
      <c r="A349" s="22" t="s">
        <v>73</v>
      </c>
      <c r="B349" s="22"/>
      <c r="C349" s="23"/>
      <c r="D349" s="23"/>
      <c r="E349" s="23"/>
      <c r="F349" s="23"/>
      <c r="G349" s="24"/>
      <c r="H349" s="36"/>
    </row>
    <row r="350" spans="1:8" ht="12.75" customHeight="1">
      <c r="A350" s="22">
        <v>42443</v>
      </c>
      <c r="B350" s="22"/>
      <c r="C350" s="25">
        <f>ROUND(1.96002007360321,4)</f>
        <v>1.96</v>
      </c>
      <c r="D350" s="25">
        <f>F350</f>
        <v>1.9672</v>
      </c>
      <c r="E350" s="25">
        <f>F350</f>
        <v>1.9672</v>
      </c>
      <c r="F350" s="25">
        <f>ROUND(1.9672,4)</f>
        <v>1.9672</v>
      </c>
      <c r="G350" s="24"/>
      <c r="H350" s="36"/>
    </row>
    <row r="351" spans="1:8" ht="12.75" customHeight="1">
      <c r="A351" s="22">
        <v>42534</v>
      </c>
      <c r="B351" s="22"/>
      <c r="C351" s="25">
        <f>ROUND(1.96002007360321,4)</f>
        <v>1.96</v>
      </c>
      <c r="D351" s="25">
        <f>F351</f>
        <v>2.0018</v>
      </c>
      <c r="E351" s="25">
        <f>F351</f>
        <v>2.0018</v>
      </c>
      <c r="F351" s="25">
        <f>ROUND(2.0018,4)</f>
        <v>2.0018</v>
      </c>
      <c r="G351" s="24"/>
      <c r="H351" s="36"/>
    </row>
    <row r="352" spans="1:8" ht="12.75" customHeight="1">
      <c r="A352" s="22">
        <v>42632</v>
      </c>
      <c r="B352" s="22"/>
      <c r="C352" s="25">
        <f>ROUND(1.96002007360321,4)</f>
        <v>1.96</v>
      </c>
      <c r="D352" s="25">
        <f>F352</f>
        <v>2.0392</v>
      </c>
      <c r="E352" s="25">
        <f>F352</f>
        <v>2.0392</v>
      </c>
      <c r="F352" s="25">
        <f>ROUND(2.0392,4)</f>
        <v>2.0392</v>
      </c>
      <c r="G352" s="24"/>
      <c r="H352" s="36"/>
    </row>
    <row r="353" spans="1:8" ht="12.75" customHeight="1">
      <c r="A353" s="22">
        <v>42723</v>
      </c>
      <c r="B353" s="22"/>
      <c r="C353" s="25">
        <f>ROUND(1.96002007360321,4)</f>
        <v>1.96</v>
      </c>
      <c r="D353" s="25">
        <f>F353</f>
        <v>2.0739</v>
      </c>
      <c r="E353" s="25">
        <f>F353</f>
        <v>2.0739</v>
      </c>
      <c r="F353" s="25">
        <f>ROUND(2.0739,4)</f>
        <v>2.0739</v>
      </c>
      <c r="G353" s="24"/>
      <c r="H353" s="36"/>
    </row>
    <row r="354" spans="1:8" ht="12.75" customHeight="1">
      <c r="A354" s="22" t="s">
        <v>74</v>
      </c>
      <c r="B354" s="22"/>
      <c r="C354" s="23"/>
      <c r="D354" s="23"/>
      <c r="E354" s="23"/>
      <c r="F354" s="23"/>
      <c r="G354" s="24"/>
      <c r="H354" s="36"/>
    </row>
    <row r="355" spans="1:8" ht="12.75" customHeight="1">
      <c r="A355" s="22">
        <v>42443</v>
      </c>
      <c r="B355" s="22"/>
      <c r="C355" s="28">
        <f>ROUND(0.134651968670992,6)</f>
        <v>0.134652</v>
      </c>
      <c r="D355" s="28">
        <f>F355</f>
        <v>0.135181</v>
      </c>
      <c r="E355" s="28">
        <f>F355</f>
        <v>0.135181</v>
      </c>
      <c r="F355" s="28">
        <f>ROUND(0.135181,6)</f>
        <v>0.135181</v>
      </c>
      <c r="G355" s="24"/>
      <c r="H355" s="36"/>
    </row>
    <row r="356" spans="1:8" ht="12.75" customHeight="1">
      <c r="A356" s="22">
        <v>42534</v>
      </c>
      <c r="B356" s="22"/>
      <c r="C356" s="28">
        <f>ROUND(0.134651968670992,6)</f>
        <v>0.134652</v>
      </c>
      <c r="D356" s="28">
        <f>F356</f>
        <v>0.137968</v>
      </c>
      <c r="E356" s="28">
        <f>F356</f>
        <v>0.137968</v>
      </c>
      <c r="F356" s="28">
        <f>ROUND(0.137968,6)</f>
        <v>0.137968</v>
      </c>
      <c r="G356" s="24"/>
      <c r="H356" s="36"/>
    </row>
    <row r="357" spans="1:8" ht="12.75" customHeight="1">
      <c r="A357" s="22">
        <v>42632</v>
      </c>
      <c r="B357" s="22"/>
      <c r="C357" s="28">
        <f>ROUND(0.134651968670992,6)</f>
        <v>0.134652</v>
      </c>
      <c r="D357" s="28">
        <f>F357</f>
        <v>0.141157</v>
      </c>
      <c r="E357" s="28">
        <f>F357</f>
        <v>0.141157</v>
      </c>
      <c r="F357" s="28">
        <f>ROUND(0.141157,6)</f>
        <v>0.141157</v>
      </c>
      <c r="G357" s="24"/>
      <c r="H357" s="36"/>
    </row>
    <row r="358" spans="1:8" ht="12.75" customHeight="1">
      <c r="A358" s="22">
        <v>42723</v>
      </c>
      <c r="B358" s="22"/>
      <c r="C358" s="28">
        <f>ROUND(0.134651968670992,6)</f>
        <v>0.134652</v>
      </c>
      <c r="D358" s="28">
        <f>F358</f>
        <v>0.144319</v>
      </c>
      <c r="E358" s="28">
        <f>F358</f>
        <v>0.144319</v>
      </c>
      <c r="F358" s="28">
        <f>ROUND(0.144319,6)</f>
        <v>0.144319</v>
      </c>
      <c r="G358" s="24"/>
      <c r="H358" s="36"/>
    </row>
    <row r="359" spans="1:8" ht="12.75" customHeight="1">
      <c r="A359" s="22">
        <v>42807</v>
      </c>
      <c r="B359" s="22"/>
      <c r="C359" s="28">
        <f>ROUND(0.134651968670992,6)</f>
        <v>0.134652</v>
      </c>
      <c r="D359" s="28">
        <f>F359</f>
        <v>0.147275</v>
      </c>
      <c r="E359" s="28">
        <f>F359</f>
        <v>0.147275</v>
      </c>
      <c r="F359" s="28">
        <f>ROUND(0.147275,6)</f>
        <v>0.147275</v>
      </c>
      <c r="G359" s="24"/>
      <c r="H359" s="36"/>
    </row>
    <row r="360" spans="1:8" ht="12.75" customHeight="1">
      <c r="A360" s="22" t="s">
        <v>75</v>
      </c>
      <c r="B360" s="22"/>
      <c r="C360" s="23"/>
      <c r="D360" s="23"/>
      <c r="E360" s="23"/>
      <c r="F360" s="23"/>
      <c r="G360" s="24"/>
      <c r="H360" s="36"/>
    </row>
    <row r="361" spans="1:8" ht="12.75" customHeight="1">
      <c r="A361" s="22">
        <v>42443</v>
      </c>
      <c r="B361" s="22"/>
      <c r="C361" s="25">
        <f>ROUND(0.14957877236621,4)</f>
        <v>0.1496</v>
      </c>
      <c r="D361" s="25">
        <f>F361</f>
        <v>0.1496</v>
      </c>
      <c r="E361" s="25">
        <f>F361</f>
        <v>0.1496</v>
      </c>
      <c r="F361" s="25">
        <f>ROUND(0.1496,4)</f>
        <v>0.1496</v>
      </c>
      <c r="G361" s="24"/>
      <c r="H361" s="36"/>
    </row>
    <row r="362" spans="1:8" ht="12.75" customHeight="1">
      <c r="A362" s="22">
        <v>42534</v>
      </c>
      <c r="B362" s="22"/>
      <c r="C362" s="25">
        <f>ROUND(0.14957877236621,4)</f>
        <v>0.1496</v>
      </c>
      <c r="D362" s="25">
        <f>F362</f>
        <v>0.149</v>
      </c>
      <c r="E362" s="25">
        <f>F362</f>
        <v>0.149</v>
      </c>
      <c r="F362" s="25">
        <f>ROUND(0.149,4)</f>
        <v>0.149</v>
      </c>
      <c r="G362" s="24"/>
      <c r="H362" s="36"/>
    </row>
    <row r="363" spans="1:8" ht="12.75" customHeight="1">
      <c r="A363" s="22">
        <v>42632</v>
      </c>
      <c r="B363" s="22"/>
      <c r="C363" s="25">
        <f>ROUND(0.14957877236621,4)</f>
        <v>0.1496</v>
      </c>
      <c r="D363" s="25">
        <f>F363</f>
        <v>0.1485</v>
      </c>
      <c r="E363" s="25">
        <f>F363</f>
        <v>0.1485</v>
      </c>
      <c r="F363" s="25">
        <f>ROUND(0.1485,4)</f>
        <v>0.1485</v>
      </c>
      <c r="G363" s="24"/>
      <c r="H363" s="36"/>
    </row>
    <row r="364" spans="1:8" ht="12.75" customHeight="1">
      <c r="A364" s="22">
        <v>42723</v>
      </c>
      <c r="B364" s="22"/>
      <c r="C364" s="25">
        <f>ROUND(0.14957877236621,4)</f>
        <v>0.1496</v>
      </c>
      <c r="D364" s="25">
        <f>F364</f>
        <v>0.1475</v>
      </c>
      <c r="E364" s="25">
        <f>F364</f>
        <v>0.1475</v>
      </c>
      <c r="F364" s="25">
        <f>ROUND(0.1475,4)</f>
        <v>0.1475</v>
      </c>
      <c r="G364" s="24"/>
      <c r="H364" s="36"/>
    </row>
    <row r="365" spans="1:8" ht="12.75" customHeight="1">
      <c r="A365" s="22" t="s">
        <v>76</v>
      </c>
      <c r="B365" s="22"/>
      <c r="C365" s="23"/>
      <c r="D365" s="23"/>
      <c r="E365" s="23"/>
      <c r="F365" s="23"/>
      <c r="G365" s="24"/>
      <c r="H365" s="36"/>
    </row>
    <row r="366" spans="1:8" ht="12.75" customHeight="1">
      <c r="A366" s="22">
        <v>42443</v>
      </c>
      <c r="B366" s="22"/>
      <c r="C366" s="25">
        <f>ROUND(0.0765239889475006,4)</f>
        <v>0.0765</v>
      </c>
      <c r="D366" s="25">
        <f>F366</f>
        <v>0.0757</v>
      </c>
      <c r="E366" s="25">
        <f>F366</f>
        <v>0.0757</v>
      </c>
      <c r="F366" s="25">
        <f>ROUND(0.0757,4)</f>
        <v>0.0757</v>
      </c>
      <c r="G366" s="24"/>
      <c r="H366" s="36"/>
    </row>
    <row r="367" spans="1:8" ht="12.75" customHeight="1">
      <c r="A367" s="22">
        <v>42534</v>
      </c>
      <c r="B367" s="22"/>
      <c r="C367" s="25">
        <f>ROUND(0.0765239889475006,4)</f>
        <v>0.0765</v>
      </c>
      <c r="D367" s="25">
        <f>F367</f>
        <v>0.0611</v>
      </c>
      <c r="E367" s="25">
        <f>F367</f>
        <v>0.0611</v>
      </c>
      <c r="F367" s="25">
        <f>ROUND(0.0611,4)</f>
        <v>0.0611</v>
      </c>
      <c r="G367" s="24"/>
      <c r="H367" s="36"/>
    </row>
    <row r="368" spans="1:8" ht="12.75" customHeight="1">
      <c r="A368" s="22">
        <v>42632</v>
      </c>
      <c r="B368" s="22"/>
      <c r="C368" s="25">
        <f>ROUND(0.0765239889475006,4)</f>
        <v>0.0765</v>
      </c>
      <c r="D368" s="25">
        <f>F368</f>
        <v>0.0572</v>
      </c>
      <c r="E368" s="25">
        <f>F368</f>
        <v>0.0572</v>
      </c>
      <c r="F368" s="25">
        <f>ROUND(0.0572,4)</f>
        <v>0.0572</v>
      </c>
      <c r="G368" s="24"/>
      <c r="H368" s="36"/>
    </row>
    <row r="369" spans="1:8" ht="12.75" customHeight="1">
      <c r="A369" s="22">
        <v>42723</v>
      </c>
      <c r="B369" s="22"/>
      <c r="C369" s="25">
        <f>ROUND(0.0765239889475006,4)</f>
        <v>0.0765</v>
      </c>
      <c r="D369" s="25">
        <f>F369</f>
        <v>0.0552</v>
      </c>
      <c r="E369" s="25">
        <f>F369</f>
        <v>0.0552</v>
      </c>
      <c r="F369" s="25">
        <f>ROUND(0.0552,4)</f>
        <v>0.0552</v>
      </c>
      <c r="G369" s="24"/>
      <c r="H369" s="36"/>
    </row>
    <row r="370" spans="1:8" ht="12.75" customHeight="1">
      <c r="A370" s="22">
        <v>42807</v>
      </c>
      <c r="B370" s="22"/>
      <c r="C370" s="25">
        <f>ROUND(0.0765239889475006,4)</f>
        <v>0.0765</v>
      </c>
      <c r="D370" s="25">
        <f>F370</f>
        <v>0.054</v>
      </c>
      <c r="E370" s="25">
        <f>F370</f>
        <v>0.054</v>
      </c>
      <c r="F370" s="25">
        <f>ROUND(0.054,4)</f>
        <v>0.054</v>
      </c>
      <c r="G370" s="24"/>
      <c r="H370" s="36"/>
    </row>
    <row r="371" spans="1:8" ht="12.75" customHeight="1">
      <c r="A371" s="22" t="s">
        <v>77</v>
      </c>
      <c r="B371" s="22"/>
      <c r="C371" s="23"/>
      <c r="D371" s="23"/>
      <c r="E371" s="23"/>
      <c r="F371" s="23"/>
      <c r="G371" s="24"/>
      <c r="H371" s="36"/>
    </row>
    <row r="372" spans="1:8" ht="12.75" customHeight="1">
      <c r="A372" s="22">
        <v>42443</v>
      </c>
      <c r="B372" s="22"/>
      <c r="C372" s="25">
        <f>ROUND(10.22683194,4)</f>
        <v>10.2268</v>
      </c>
      <c r="D372" s="25">
        <f>F372</f>
        <v>10.2532</v>
      </c>
      <c r="E372" s="25">
        <f>F372</f>
        <v>10.2532</v>
      </c>
      <c r="F372" s="25">
        <f>ROUND(10.2532,4)</f>
        <v>10.2532</v>
      </c>
      <c r="G372" s="24"/>
      <c r="H372" s="36"/>
    </row>
    <row r="373" spans="1:8" ht="12.75" customHeight="1">
      <c r="A373" s="22">
        <v>42534</v>
      </c>
      <c r="B373" s="22"/>
      <c r="C373" s="25">
        <f>ROUND(10.22683194,4)</f>
        <v>10.2268</v>
      </c>
      <c r="D373" s="25">
        <f>F373</f>
        <v>10.3761</v>
      </c>
      <c r="E373" s="25">
        <f>F373</f>
        <v>10.3761</v>
      </c>
      <c r="F373" s="25">
        <f>ROUND(10.3761,4)</f>
        <v>10.3761</v>
      </c>
      <c r="G373" s="24"/>
      <c r="H373" s="36"/>
    </row>
    <row r="374" spans="1:8" ht="12.75" customHeight="1">
      <c r="A374" s="22">
        <v>42632</v>
      </c>
      <c r="B374" s="22"/>
      <c r="C374" s="25">
        <f>ROUND(10.22683194,4)</f>
        <v>10.2268</v>
      </c>
      <c r="D374" s="25">
        <f>F374</f>
        <v>10.5233</v>
      </c>
      <c r="E374" s="25">
        <f>F374</f>
        <v>10.5233</v>
      </c>
      <c r="F374" s="25">
        <f>ROUND(10.5233,4)</f>
        <v>10.5233</v>
      </c>
      <c r="G374" s="24"/>
      <c r="H374" s="36"/>
    </row>
    <row r="375" spans="1:8" ht="12.75" customHeight="1">
      <c r="A375" s="22">
        <v>42723</v>
      </c>
      <c r="B375" s="22"/>
      <c r="C375" s="25">
        <f>ROUND(10.22683194,4)</f>
        <v>10.2268</v>
      </c>
      <c r="D375" s="25">
        <f>F375</f>
        <v>10.6684</v>
      </c>
      <c r="E375" s="25">
        <f>F375</f>
        <v>10.6684</v>
      </c>
      <c r="F375" s="25">
        <f>ROUND(10.6684,4)</f>
        <v>10.6684</v>
      </c>
      <c r="G375" s="24"/>
      <c r="H375" s="36"/>
    </row>
    <row r="376" spans="1:8" ht="12.75" customHeight="1">
      <c r="A376" s="22" t="s">
        <v>78</v>
      </c>
      <c r="B376" s="22"/>
      <c r="C376" s="23"/>
      <c r="D376" s="23"/>
      <c r="E376" s="23"/>
      <c r="F376" s="23"/>
      <c r="G376" s="24"/>
      <c r="H376" s="36"/>
    </row>
    <row r="377" spans="1:8" ht="12.75" customHeight="1">
      <c r="A377" s="22">
        <v>42443</v>
      </c>
      <c r="B377" s="22"/>
      <c r="C377" s="25">
        <f>ROUND(10.8622263424374,4)</f>
        <v>10.8622</v>
      </c>
      <c r="D377" s="25">
        <f>F377</f>
        <v>10.8977</v>
      </c>
      <c r="E377" s="25">
        <f>F377</f>
        <v>10.8977</v>
      </c>
      <c r="F377" s="25">
        <f>ROUND(10.8977,4)</f>
        <v>10.8977</v>
      </c>
      <c r="G377" s="24"/>
      <c r="H377" s="36"/>
    </row>
    <row r="378" spans="1:8" ht="12.75" customHeight="1">
      <c r="A378" s="22">
        <v>42534</v>
      </c>
      <c r="B378" s="22"/>
      <c r="C378" s="25">
        <f>ROUND(10.8622263424374,4)</f>
        <v>10.8622</v>
      </c>
      <c r="D378" s="25">
        <f>F378</f>
        <v>11.059</v>
      </c>
      <c r="E378" s="25">
        <f>F378</f>
        <v>11.059</v>
      </c>
      <c r="F378" s="25">
        <f>ROUND(11.059,4)</f>
        <v>11.059</v>
      </c>
      <c r="G378" s="24"/>
      <c r="H378" s="36"/>
    </row>
    <row r="379" spans="1:8" ht="12.75" customHeight="1">
      <c r="A379" s="22">
        <v>42632</v>
      </c>
      <c r="B379" s="22"/>
      <c r="C379" s="25">
        <f>ROUND(10.8622263424374,4)</f>
        <v>10.8622</v>
      </c>
      <c r="D379" s="25">
        <f>F379</f>
        <v>11.2452</v>
      </c>
      <c r="E379" s="25">
        <f>F379</f>
        <v>11.2452</v>
      </c>
      <c r="F379" s="25">
        <f>ROUND(11.2452,4)</f>
        <v>11.2452</v>
      </c>
      <c r="G379" s="24"/>
      <c r="H379" s="36"/>
    </row>
    <row r="380" spans="1:8" ht="12.75" customHeight="1">
      <c r="A380" s="22" t="s">
        <v>79</v>
      </c>
      <c r="B380" s="22"/>
      <c r="C380" s="23"/>
      <c r="D380" s="23"/>
      <c r="E380" s="23"/>
      <c r="F380" s="23"/>
      <c r="G380" s="24"/>
      <c r="H380" s="36"/>
    </row>
    <row r="381" spans="1:8" ht="12.75" customHeight="1">
      <c r="A381" s="22">
        <v>42443</v>
      </c>
      <c r="B381" s="22"/>
      <c r="C381" s="25">
        <f>ROUND(5.1744743010497,4)</f>
        <v>5.1745</v>
      </c>
      <c r="D381" s="25">
        <f>F381</f>
        <v>5.1671</v>
      </c>
      <c r="E381" s="25">
        <f>F381</f>
        <v>5.1671</v>
      </c>
      <c r="F381" s="25">
        <f>ROUND(5.1671,4)</f>
        <v>5.1671</v>
      </c>
      <c r="G381" s="24"/>
      <c r="H381" s="36"/>
    </row>
    <row r="382" spans="1:8" ht="12.75" customHeight="1">
      <c r="A382" s="22">
        <v>42534</v>
      </c>
      <c r="B382" s="22"/>
      <c r="C382" s="25">
        <f>ROUND(5.1744743010497,4)</f>
        <v>5.1745</v>
      </c>
      <c r="D382" s="25">
        <f>F382</f>
        <v>5.1233</v>
      </c>
      <c r="E382" s="25">
        <f>F382</f>
        <v>5.1233</v>
      </c>
      <c r="F382" s="25">
        <f>ROUND(5.1233,4)</f>
        <v>5.1233</v>
      </c>
      <c r="G382" s="24"/>
      <c r="H382" s="36"/>
    </row>
    <row r="383" spans="1:8" ht="12.75" customHeight="1">
      <c r="A383" s="22">
        <v>42632</v>
      </c>
      <c r="B383" s="22"/>
      <c r="C383" s="25">
        <f>ROUND(5.1744743010497,4)</f>
        <v>5.1745</v>
      </c>
      <c r="D383" s="25">
        <f>F383</f>
        <v>5.087</v>
      </c>
      <c r="E383" s="25">
        <f>F383</f>
        <v>5.087</v>
      </c>
      <c r="F383" s="25">
        <f>ROUND(5.087,4)</f>
        <v>5.087</v>
      </c>
      <c r="G383" s="24"/>
      <c r="H383" s="36"/>
    </row>
    <row r="384" spans="1:8" ht="12.75" customHeight="1">
      <c r="A384" s="22" t="s">
        <v>80</v>
      </c>
      <c r="B384" s="22"/>
      <c r="C384" s="23"/>
      <c r="D384" s="23"/>
      <c r="E384" s="23"/>
      <c r="F384" s="23"/>
      <c r="G384" s="24"/>
      <c r="H384" s="36"/>
    </row>
    <row r="385" spans="1:8" ht="12.75" customHeight="1">
      <c r="A385" s="22">
        <v>42443</v>
      </c>
      <c r="B385" s="22"/>
      <c r="C385" s="25">
        <f>ROUND(15.2321,4)</f>
        <v>15.2321</v>
      </c>
      <c r="D385" s="25">
        <f>F385</f>
        <v>15.2863</v>
      </c>
      <c r="E385" s="25">
        <f>F385</f>
        <v>15.2863</v>
      </c>
      <c r="F385" s="25">
        <f>ROUND(15.2863,4)</f>
        <v>15.2863</v>
      </c>
      <c r="G385" s="24"/>
      <c r="H385" s="36"/>
    </row>
    <row r="386" spans="1:8" ht="12.75" customHeight="1">
      <c r="A386" s="22">
        <v>42534</v>
      </c>
      <c r="B386" s="22"/>
      <c r="C386" s="25">
        <f>ROUND(15.2321,4)</f>
        <v>15.2321</v>
      </c>
      <c r="D386" s="25">
        <f>F386</f>
        <v>15.5533</v>
      </c>
      <c r="E386" s="25">
        <f>F386</f>
        <v>15.5533</v>
      </c>
      <c r="F386" s="25">
        <f>ROUND(15.5533,4)</f>
        <v>15.5533</v>
      </c>
      <c r="G386" s="24"/>
      <c r="H386" s="36"/>
    </row>
    <row r="387" spans="1:8" ht="12.75" customHeight="1">
      <c r="A387" s="22">
        <v>42632</v>
      </c>
      <c r="B387" s="22"/>
      <c r="C387" s="25">
        <f>ROUND(15.2321,4)</f>
        <v>15.2321</v>
      </c>
      <c r="D387" s="25">
        <f>F387</f>
        <v>15.8525</v>
      </c>
      <c r="E387" s="25">
        <f>F387</f>
        <v>15.8525</v>
      </c>
      <c r="F387" s="25">
        <f>ROUND(15.8525,4)</f>
        <v>15.8525</v>
      </c>
      <c r="G387" s="24"/>
      <c r="H387" s="36"/>
    </row>
    <row r="388" spans="1:8" ht="12.75" customHeight="1">
      <c r="A388" s="22">
        <v>42723</v>
      </c>
      <c r="B388" s="22"/>
      <c r="C388" s="25">
        <f>ROUND(15.2321,4)</f>
        <v>15.2321</v>
      </c>
      <c r="D388" s="25">
        <f>F388</f>
        <v>16.1415</v>
      </c>
      <c r="E388" s="25">
        <f>F388</f>
        <v>16.1415</v>
      </c>
      <c r="F388" s="25">
        <f>ROUND(16.1415,4)</f>
        <v>16.1415</v>
      </c>
      <c r="G388" s="24"/>
      <c r="H388" s="36"/>
    </row>
    <row r="389" spans="1:8" ht="12.75" customHeight="1">
      <c r="A389" s="22">
        <v>42807</v>
      </c>
      <c r="B389" s="22"/>
      <c r="C389" s="25">
        <f>ROUND(15.2321,4)</f>
        <v>15.2321</v>
      </c>
      <c r="D389" s="25">
        <f>F389</f>
        <v>16.3988</v>
      </c>
      <c r="E389" s="25">
        <f>F389</f>
        <v>16.3988</v>
      </c>
      <c r="F389" s="25">
        <f>ROUND(16.3988,4)</f>
        <v>16.3988</v>
      </c>
      <c r="G389" s="24"/>
      <c r="H389" s="36"/>
    </row>
    <row r="390" spans="1:8" ht="12.75" customHeight="1">
      <c r="A390" s="22" t="s">
        <v>81</v>
      </c>
      <c r="B390" s="22"/>
      <c r="C390" s="23"/>
      <c r="D390" s="23"/>
      <c r="E390" s="23"/>
      <c r="F390" s="23"/>
      <c r="G390" s="24"/>
      <c r="H390" s="36"/>
    </row>
    <row r="391" spans="1:8" ht="12.75" customHeight="1">
      <c r="A391" s="22">
        <v>42443</v>
      </c>
      <c r="B391" s="22"/>
      <c r="C391" s="25">
        <f>ROUND(15.2321,4)</f>
        <v>15.2321</v>
      </c>
      <c r="D391" s="25">
        <f>F391</f>
        <v>15.2863</v>
      </c>
      <c r="E391" s="25">
        <f>F391</f>
        <v>15.2863</v>
      </c>
      <c r="F391" s="25">
        <f>ROUND(15.2863,4)</f>
        <v>15.2863</v>
      </c>
      <c r="G391" s="24"/>
      <c r="H391" s="36"/>
    </row>
    <row r="392" spans="1:8" ht="12.75" customHeight="1">
      <c r="A392" s="22">
        <v>42534</v>
      </c>
      <c r="B392" s="22"/>
      <c r="C392" s="25">
        <f>ROUND(15.2321,4)</f>
        <v>15.2321</v>
      </c>
      <c r="D392" s="25">
        <f>F392</f>
        <v>15.5533</v>
      </c>
      <c r="E392" s="25">
        <f>F392</f>
        <v>15.5533</v>
      </c>
      <c r="F392" s="25">
        <f>ROUND(15.5533,4)</f>
        <v>15.5533</v>
      </c>
      <c r="G392" s="24"/>
      <c r="H392" s="36"/>
    </row>
    <row r="393" spans="1:8" ht="12.75" customHeight="1">
      <c r="A393" s="22">
        <v>42632</v>
      </c>
      <c r="B393" s="22"/>
      <c r="C393" s="25">
        <f>ROUND(15.2321,4)</f>
        <v>15.2321</v>
      </c>
      <c r="D393" s="25">
        <f>F393</f>
        <v>15.8525</v>
      </c>
      <c r="E393" s="25">
        <f>F393</f>
        <v>15.8525</v>
      </c>
      <c r="F393" s="25">
        <f>ROUND(15.8525,4)</f>
        <v>15.8525</v>
      </c>
      <c r="G393" s="24"/>
      <c r="H393" s="36"/>
    </row>
    <row r="394" spans="1:8" ht="12.75" customHeight="1">
      <c r="A394" s="22">
        <v>42723</v>
      </c>
      <c r="B394" s="22"/>
      <c r="C394" s="25">
        <f>ROUND(15.2321,4)</f>
        <v>15.2321</v>
      </c>
      <c r="D394" s="25">
        <f>F394</f>
        <v>16.1415</v>
      </c>
      <c r="E394" s="25">
        <f>F394</f>
        <v>16.1415</v>
      </c>
      <c r="F394" s="25">
        <f>ROUND(16.1415,4)</f>
        <v>16.1415</v>
      </c>
      <c r="G394" s="24"/>
      <c r="H394" s="36"/>
    </row>
    <row r="395" spans="1:8" ht="12.75" customHeight="1">
      <c r="A395" s="22">
        <v>42807</v>
      </c>
      <c r="B395" s="22"/>
      <c r="C395" s="25">
        <f>ROUND(15.2321,4)</f>
        <v>15.2321</v>
      </c>
      <c r="D395" s="25">
        <f>F395</f>
        <v>16.3988</v>
      </c>
      <c r="E395" s="25">
        <f>F395</f>
        <v>16.3988</v>
      </c>
      <c r="F395" s="25">
        <f>ROUND(16.3988,4)</f>
        <v>16.3988</v>
      </c>
      <c r="G395" s="24"/>
      <c r="H395" s="36"/>
    </row>
    <row r="396" spans="1:8" ht="12.75" customHeight="1">
      <c r="A396" s="22">
        <v>42905</v>
      </c>
      <c r="B396" s="22"/>
      <c r="C396" s="25">
        <f>ROUND(15.2321,4)</f>
        <v>15.2321</v>
      </c>
      <c r="D396" s="25">
        <f>F396</f>
        <v>16.631</v>
      </c>
      <c r="E396" s="25">
        <f>F396</f>
        <v>16.631</v>
      </c>
      <c r="F396" s="25">
        <f>ROUND(16.631,4)</f>
        <v>16.631</v>
      </c>
      <c r="G396" s="24"/>
      <c r="H396" s="36"/>
    </row>
    <row r="397" spans="1:8" ht="12.75" customHeight="1">
      <c r="A397" s="22">
        <v>42996</v>
      </c>
      <c r="B397" s="22"/>
      <c r="C397" s="25">
        <f>ROUND(15.2321,4)</f>
        <v>15.2321</v>
      </c>
      <c r="D397" s="25">
        <f>F397</f>
        <v>16.8467</v>
      </c>
      <c r="E397" s="25">
        <f>F397</f>
        <v>16.8467</v>
      </c>
      <c r="F397" s="25">
        <f>ROUND(16.8467,4)</f>
        <v>16.8467</v>
      </c>
      <c r="G397" s="24"/>
      <c r="H397" s="36"/>
    </row>
    <row r="398" spans="1:8" ht="12.75" customHeight="1">
      <c r="A398" s="22">
        <v>43087</v>
      </c>
      <c r="B398" s="22"/>
      <c r="C398" s="25">
        <f>ROUND(15.2321,4)</f>
        <v>15.2321</v>
      </c>
      <c r="D398" s="25">
        <f>F398</f>
        <v>17.0623</v>
      </c>
      <c r="E398" s="25">
        <f>F398</f>
        <v>17.0623</v>
      </c>
      <c r="F398" s="25">
        <f>ROUND(17.0623,4)</f>
        <v>17.0623</v>
      </c>
      <c r="G398" s="24"/>
      <c r="H398" s="36"/>
    </row>
    <row r="399" spans="1:8" ht="12.75" customHeight="1">
      <c r="A399" s="22">
        <v>43175</v>
      </c>
      <c r="B399" s="22"/>
      <c r="C399" s="25">
        <f>ROUND(15.2321,4)</f>
        <v>15.2321</v>
      </c>
      <c r="D399" s="25">
        <f>F399</f>
        <v>17.2849</v>
      </c>
      <c r="E399" s="25">
        <f>F399</f>
        <v>17.2849</v>
      </c>
      <c r="F399" s="25">
        <f>ROUND(17.2849,4)</f>
        <v>17.2849</v>
      </c>
      <c r="G399" s="24"/>
      <c r="H399" s="36"/>
    </row>
    <row r="400" spans="1:8" ht="12.75" customHeight="1">
      <c r="A400" s="22">
        <v>43269</v>
      </c>
      <c r="B400" s="22"/>
      <c r="C400" s="25">
        <f>ROUND(15.2321,4)</f>
        <v>15.2321</v>
      </c>
      <c r="D400" s="25">
        <f>F400</f>
        <v>17.5811</v>
      </c>
      <c r="E400" s="25">
        <f>F400</f>
        <v>17.5811</v>
      </c>
      <c r="F400" s="25">
        <f>ROUND(17.5811,4)</f>
        <v>17.5811</v>
      </c>
      <c r="G400" s="24"/>
      <c r="H400" s="36"/>
    </row>
    <row r="401" spans="1:8" ht="12.75" customHeight="1">
      <c r="A401" s="22">
        <v>43360</v>
      </c>
      <c r="B401" s="22"/>
      <c r="C401" s="25">
        <f>ROUND(15.2321,4)</f>
        <v>15.2321</v>
      </c>
      <c r="D401" s="25">
        <f>F401</f>
        <v>17.8678</v>
      </c>
      <c r="E401" s="25">
        <f>F401</f>
        <v>17.8678</v>
      </c>
      <c r="F401" s="25">
        <f>ROUND(17.8678,4)</f>
        <v>17.8678</v>
      </c>
      <c r="G401" s="24"/>
      <c r="H401" s="36"/>
    </row>
    <row r="402" spans="1:8" ht="12.75" customHeight="1">
      <c r="A402" s="22">
        <v>43448</v>
      </c>
      <c r="B402" s="22"/>
      <c r="C402" s="25">
        <f>ROUND(15.2321,4)</f>
        <v>15.2321</v>
      </c>
      <c r="D402" s="25">
        <f>F402</f>
        <v>18.1451</v>
      </c>
      <c r="E402" s="25">
        <f>F402</f>
        <v>18.1451</v>
      </c>
      <c r="F402" s="25">
        <f>ROUND(18.1451,4)</f>
        <v>18.1451</v>
      </c>
      <c r="G402" s="24"/>
      <c r="H402" s="36"/>
    </row>
    <row r="403" spans="1:8" ht="12.75" customHeight="1">
      <c r="A403" s="22">
        <v>43542</v>
      </c>
      <c r="B403" s="22"/>
      <c r="C403" s="25">
        <f>ROUND(15.2321,4)</f>
        <v>15.2321</v>
      </c>
      <c r="D403" s="25">
        <f>F403</f>
        <v>18.4413</v>
      </c>
      <c r="E403" s="25">
        <f>F403</f>
        <v>18.4413</v>
      </c>
      <c r="F403" s="25">
        <f>ROUND(18.4413,4)</f>
        <v>18.4413</v>
      </c>
      <c r="G403" s="24"/>
      <c r="H403" s="36"/>
    </row>
    <row r="404" spans="1:8" ht="12.75" customHeight="1">
      <c r="A404" s="22" t="s">
        <v>82</v>
      </c>
      <c r="B404" s="22"/>
      <c r="C404" s="23"/>
      <c r="D404" s="23"/>
      <c r="E404" s="23"/>
      <c r="F404" s="23"/>
      <c r="G404" s="24"/>
      <c r="H404" s="36"/>
    </row>
    <row r="405" spans="1:8" ht="12.75" customHeight="1">
      <c r="A405" s="22">
        <v>42443</v>
      </c>
      <c r="B405" s="22"/>
      <c r="C405" s="25">
        <f>ROUND(1.3402639683238,4)</f>
        <v>1.3403</v>
      </c>
      <c r="D405" s="25">
        <f>F405</f>
        <v>1.32</v>
      </c>
      <c r="E405" s="25">
        <f>F405</f>
        <v>1.32</v>
      </c>
      <c r="F405" s="25">
        <f>ROUND(1.32,4)</f>
        <v>1.32</v>
      </c>
      <c r="G405" s="24"/>
      <c r="H405" s="36"/>
    </row>
    <row r="406" spans="1:8" ht="12.75" customHeight="1">
      <c r="A406" s="22">
        <v>42534</v>
      </c>
      <c r="B406" s="22"/>
      <c r="C406" s="25">
        <f>ROUND(1.3402639683238,4)</f>
        <v>1.3403</v>
      </c>
      <c r="D406" s="25">
        <f>F406</f>
        <v>1.2382</v>
      </c>
      <c r="E406" s="25">
        <f>F406</f>
        <v>1.2382</v>
      </c>
      <c r="F406" s="25">
        <f>ROUND(1.2382,4)</f>
        <v>1.2382</v>
      </c>
      <c r="G406" s="24"/>
      <c r="H406" s="36"/>
    </row>
    <row r="407" spans="1:8" ht="12.75" customHeight="1">
      <c r="A407" s="22">
        <v>42632</v>
      </c>
      <c r="B407" s="22"/>
      <c r="C407" s="25">
        <f>ROUND(1.3402639683238,4)</f>
        <v>1.3403</v>
      </c>
      <c r="D407" s="25">
        <f>F407</f>
        <v>1.1496</v>
      </c>
      <c r="E407" s="25">
        <f>F407</f>
        <v>1.1496</v>
      </c>
      <c r="F407" s="25">
        <f>ROUND(1.1496,4)</f>
        <v>1.1496</v>
      </c>
      <c r="G407" s="24"/>
      <c r="H407" s="36"/>
    </row>
    <row r="408" spans="1:8" ht="12.75" customHeight="1">
      <c r="A408" s="22">
        <v>42723</v>
      </c>
      <c r="B408" s="22"/>
      <c r="C408" s="25">
        <f>ROUND(1.3402639683238,4)</f>
        <v>1.3403</v>
      </c>
      <c r="D408" s="25">
        <f>F408</f>
        <v>1.0751</v>
      </c>
      <c r="E408" s="25">
        <f>F408</f>
        <v>1.0751</v>
      </c>
      <c r="F408" s="25">
        <f>ROUND(1.0751,4)</f>
        <v>1.0751</v>
      </c>
      <c r="G408" s="24"/>
      <c r="H408" s="36"/>
    </row>
    <row r="409" spans="1:8" ht="12.75" customHeight="1">
      <c r="A409" s="22" t="s">
        <v>83</v>
      </c>
      <c r="B409" s="22"/>
      <c r="C409" s="23"/>
      <c r="D409" s="23"/>
      <c r="E409" s="23"/>
      <c r="F409" s="23"/>
      <c r="G409" s="24"/>
      <c r="H409" s="36"/>
    </row>
    <row r="410" spans="1:8" ht="12.75" customHeight="1">
      <c r="A410" s="22">
        <v>42495</v>
      </c>
      <c r="B410" s="22"/>
      <c r="C410" s="27">
        <f>ROUND(525.245,3)</f>
        <v>525.245</v>
      </c>
      <c r="D410" s="27">
        <f>F410</f>
        <v>532.949</v>
      </c>
      <c r="E410" s="27">
        <f>F410</f>
        <v>532.949</v>
      </c>
      <c r="F410" s="27">
        <f>ROUND(532.949,3)</f>
        <v>532.949</v>
      </c>
      <c r="G410" s="24"/>
      <c r="H410" s="36"/>
    </row>
    <row r="411" spans="1:8" ht="12.75" customHeight="1">
      <c r="A411" s="22">
        <v>42586</v>
      </c>
      <c r="B411" s="22"/>
      <c r="C411" s="27">
        <f>ROUND(525.245,3)</f>
        <v>525.245</v>
      </c>
      <c r="D411" s="27">
        <f>F411</f>
        <v>543.09</v>
      </c>
      <c r="E411" s="27">
        <f>F411</f>
        <v>543.09</v>
      </c>
      <c r="F411" s="27">
        <f>ROUND(543.09,3)</f>
        <v>543.09</v>
      </c>
      <c r="G411" s="24"/>
      <c r="H411" s="36"/>
    </row>
    <row r="412" spans="1:8" ht="12.75" customHeight="1">
      <c r="A412" s="22">
        <v>42677</v>
      </c>
      <c r="B412" s="22"/>
      <c r="C412" s="27">
        <f>ROUND(525.245,3)</f>
        <v>525.245</v>
      </c>
      <c r="D412" s="27">
        <f>F412</f>
        <v>553.825</v>
      </c>
      <c r="E412" s="27">
        <f>F412</f>
        <v>553.825</v>
      </c>
      <c r="F412" s="27">
        <f>ROUND(553.825,3)</f>
        <v>553.825</v>
      </c>
      <c r="G412" s="24"/>
      <c r="H412" s="36"/>
    </row>
    <row r="413" spans="1:8" ht="12.75" customHeight="1">
      <c r="A413" s="22">
        <v>42768</v>
      </c>
      <c r="B413" s="22"/>
      <c r="C413" s="27">
        <f>ROUND(525.245,3)</f>
        <v>525.245</v>
      </c>
      <c r="D413" s="27">
        <f>F413</f>
        <v>565.657</v>
      </c>
      <c r="E413" s="27">
        <f>F413</f>
        <v>565.657</v>
      </c>
      <c r="F413" s="27">
        <f>ROUND(565.657,3)</f>
        <v>565.657</v>
      </c>
      <c r="G413" s="24"/>
      <c r="H413" s="36"/>
    </row>
    <row r="414" spans="1:8" ht="12.75" customHeight="1">
      <c r="A414" s="22" t="s">
        <v>84</v>
      </c>
      <c r="B414" s="22"/>
      <c r="C414" s="23"/>
      <c r="D414" s="23"/>
      <c r="E414" s="23"/>
      <c r="F414" s="23"/>
      <c r="G414" s="24"/>
      <c r="H414" s="36"/>
    </row>
    <row r="415" spans="1:8" ht="12.75" customHeight="1">
      <c r="A415" s="22">
        <v>42495</v>
      </c>
      <c r="B415" s="22"/>
      <c r="C415" s="27">
        <f>ROUND(464.087,3)</f>
        <v>464.087</v>
      </c>
      <c r="D415" s="27">
        <f>F415</f>
        <v>470.894</v>
      </c>
      <c r="E415" s="27">
        <f>F415</f>
        <v>470.894</v>
      </c>
      <c r="F415" s="27">
        <f>ROUND(470.894,3)</f>
        <v>470.894</v>
      </c>
      <c r="G415" s="24"/>
      <c r="H415" s="36"/>
    </row>
    <row r="416" spans="1:8" ht="12.75" customHeight="1">
      <c r="A416" s="22">
        <v>42586</v>
      </c>
      <c r="B416" s="22"/>
      <c r="C416" s="27">
        <f>ROUND(464.087,3)</f>
        <v>464.087</v>
      </c>
      <c r="D416" s="27">
        <f>F416</f>
        <v>479.854</v>
      </c>
      <c r="E416" s="27">
        <f>F416</f>
        <v>479.854</v>
      </c>
      <c r="F416" s="27">
        <f>ROUND(479.854,3)</f>
        <v>479.854</v>
      </c>
      <c r="G416" s="24"/>
      <c r="H416" s="36"/>
    </row>
    <row r="417" spans="1:8" ht="12.75" customHeight="1">
      <c r="A417" s="22">
        <v>42677</v>
      </c>
      <c r="B417" s="22"/>
      <c r="C417" s="27">
        <f>ROUND(464.087,3)</f>
        <v>464.087</v>
      </c>
      <c r="D417" s="27">
        <f>F417</f>
        <v>489.339</v>
      </c>
      <c r="E417" s="27">
        <f>F417</f>
        <v>489.339</v>
      </c>
      <c r="F417" s="27">
        <f>ROUND(489.339,3)</f>
        <v>489.339</v>
      </c>
      <c r="G417" s="24"/>
      <c r="H417" s="36"/>
    </row>
    <row r="418" spans="1:8" ht="12.75" customHeight="1">
      <c r="A418" s="22">
        <v>42768</v>
      </c>
      <c r="B418" s="22"/>
      <c r="C418" s="27">
        <f>ROUND(464.087,3)</f>
        <v>464.087</v>
      </c>
      <c r="D418" s="27">
        <f>F418</f>
        <v>499.794</v>
      </c>
      <c r="E418" s="27">
        <f>F418</f>
        <v>499.794</v>
      </c>
      <c r="F418" s="27">
        <f>ROUND(499.794,3)</f>
        <v>499.794</v>
      </c>
      <c r="G418" s="24"/>
      <c r="H418" s="36"/>
    </row>
    <row r="419" spans="1:8" ht="12.75" customHeight="1">
      <c r="A419" s="22" t="s">
        <v>85</v>
      </c>
      <c r="B419" s="22"/>
      <c r="C419" s="23"/>
      <c r="D419" s="23"/>
      <c r="E419" s="23"/>
      <c r="F419" s="23"/>
      <c r="G419" s="24"/>
      <c r="H419" s="36"/>
    </row>
    <row r="420" spans="1:8" ht="12.75" customHeight="1">
      <c r="A420" s="22">
        <v>42495</v>
      </c>
      <c r="B420" s="22"/>
      <c r="C420" s="27">
        <f>ROUND(535.088,3)</f>
        <v>535.088</v>
      </c>
      <c r="D420" s="27">
        <f>F420</f>
        <v>542.936</v>
      </c>
      <c r="E420" s="27">
        <f>F420</f>
        <v>542.936</v>
      </c>
      <c r="F420" s="27">
        <f>ROUND(542.936,3)</f>
        <v>542.936</v>
      </c>
      <c r="G420" s="24"/>
      <c r="H420" s="36"/>
    </row>
    <row r="421" spans="1:8" ht="12.75" customHeight="1">
      <c r="A421" s="22">
        <v>42586</v>
      </c>
      <c r="B421" s="22"/>
      <c r="C421" s="27">
        <f>ROUND(535.088,3)</f>
        <v>535.088</v>
      </c>
      <c r="D421" s="27">
        <f>F421</f>
        <v>553.268</v>
      </c>
      <c r="E421" s="27">
        <f>F421</f>
        <v>553.268</v>
      </c>
      <c r="F421" s="27">
        <f>ROUND(553.268,3)</f>
        <v>553.268</v>
      </c>
      <c r="G421" s="24"/>
      <c r="H421" s="36"/>
    </row>
    <row r="422" spans="1:8" ht="12.75" customHeight="1">
      <c r="A422" s="22">
        <v>42677</v>
      </c>
      <c r="B422" s="22"/>
      <c r="C422" s="27">
        <f>ROUND(535.088,3)</f>
        <v>535.088</v>
      </c>
      <c r="D422" s="27">
        <f>F422</f>
        <v>564.204</v>
      </c>
      <c r="E422" s="27">
        <f>F422</f>
        <v>564.204</v>
      </c>
      <c r="F422" s="27">
        <f>ROUND(564.204,3)</f>
        <v>564.204</v>
      </c>
      <c r="G422" s="24"/>
      <c r="H422" s="36"/>
    </row>
    <row r="423" spans="1:8" ht="12.75" customHeight="1">
      <c r="A423" s="22">
        <v>42768</v>
      </c>
      <c r="B423" s="22"/>
      <c r="C423" s="27">
        <f>ROUND(535.088,3)</f>
        <v>535.088</v>
      </c>
      <c r="D423" s="27">
        <f>F423</f>
        <v>576.258</v>
      </c>
      <c r="E423" s="27">
        <f>F423</f>
        <v>576.258</v>
      </c>
      <c r="F423" s="27">
        <f>ROUND(576.258,3)</f>
        <v>576.258</v>
      </c>
      <c r="G423" s="24"/>
      <c r="H423" s="36"/>
    </row>
    <row r="424" spans="1:8" ht="12.75" customHeight="1">
      <c r="A424" s="22" t="s">
        <v>86</v>
      </c>
      <c r="B424" s="22"/>
      <c r="C424" s="23"/>
      <c r="D424" s="23"/>
      <c r="E424" s="23"/>
      <c r="F424" s="23"/>
      <c r="G424" s="24"/>
      <c r="H424" s="36"/>
    </row>
    <row r="425" spans="1:8" ht="12.75" customHeight="1">
      <c r="A425" s="22">
        <v>42495</v>
      </c>
      <c r="B425" s="22"/>
      <c r="C425" s="27">
        <f>ROUND(484.864,3)</f>
        <v>484.864</v>
      </c>
      <c r="D425" s="27">
        <f>F425</f>
        <v>491.976</v>
      </c>
      <c r="E425" s="27">
        <f>F425</f>
        <v>491.976</v>
      </c>
      <c r="F425" s="27">
        <f>ROUND(491.976,3)</f>
        <v>491.976</v>
      </c>
      <c r="G425" s="24"/>
      <c r="H425" s="36"/>
    </row>
    <row r="426" spans="1:8" ht="12.75" customHeight="1">
      <c r="A426" s="22">
        <v>42586</v>
      </c>
      <c r="B426" s="22"/>
      <c r="C426" s="27">
        <f>ROUND(484.864,3)</f>
        <v>484.864</v>
      </c>
      <c r="D426" s="27">
        <f>F426</f>
        <v>501.337</v>
      </c>
      <c r="E426" s="27">
        <f>F426</f>
        <v>501.337</v>
      </c>
      <c r="F426" s="27">
        <f>ROUND(501.337,3)</f>
        <v>501.337</v>
      </c>
      <c r="G426" s="24"/>
      <c r="H426" s="36"/>
    </row>
    <row r="427" spans="1:8" ht="12.75" customHeight="1">
      <c r="A427" s="22">
        <v>42677</v>
      </c>
      <c r="B427" s="22"/>
      <c r="C427" s="27">
        <f>ROUND(484.864,3)</f>
        <v>484.864</v>
      </c>
      <c r="D427" s="27">
        <f>F427</f>
        <v>511.247</v>
      </c>
      <c r="E427" s="27">
        <f>F427</f>
        <v>511.247</v>
      </c>
      <c r="F427" s="27">
        <f>ROUND(511.247,3)</f>
        <v>511.247</v>
      </c>
      <c r="G427" s="24"/>
      <c r="H427" s="36"/>
    </row>
    <row r="428" spans="1:8" ht="12.75" customHeight="1">
      <c r="A428" s="22">
        <v>42768</v>
      </c>
      <c r="B428" s="22"/>
      <c r="C428" s="27">
        <f>ROUND(484.864,3)</f>
        <v>484.864</v>
      </c>
      <c r="D428" s="27">
        <f>F428</f>
        <v>522.169</v>
      </c>
      <c r="E428" s="27">
        <f>F428</f>
        <v>522.169</v>
      </c>
      <c r="F428" s="27">
        <f>ROUND(522.169,3)</f>
        <v>522.169</v>
      </c>
      <c r="G428" s="24"/>
      <c r="H428" s="36"/>
    </row>
    <row r="429" spans="1:8" ht="12.75" customHeight="1">
      <c r="A429" s="22" t="s">
        <v>87</v>
      </c>
      <c r="B429" s="22"/>
      <c r="C429" s="23"/>
      <c r="D429" s="23"/>
      <c r="E429" s="23"/>
      <c r="F429" s="23"/>
      <c r="G429" s="24"/>
      <c r="H429" s="36"/>
    </row>
    <row r="430" spans="1:8" ht="12.75" customHeight="1">
      <c r="A430" s="22">
        <v>42495</v>
      </c>
      <c r="B430" s="22"/>
      <c r="C430" s="27">
        <f>ROUND(233.659577780625,3)</f>
        <v>233.66</v>
      </c>
      <c r="D430" s="27">
        <f>F430</f>
        <v>237.102</v>
      </c>
      <c r="E430" s="27">
        <f>F430</f>
        <v>237.102</v>
      </c>
      <c r="F430" s="27">
        <f>ROUND(237.102,3)</f>
        <v>237.102</v>
      </c>
      <c r="G430" s="24"/>
      <c r="H430" s="36"/>
    </row>
    <row r="431" spans="1:8" ht="12.75" customHeight="1">
      <c r="A431" s="22">
        <v>42586</v>
      </c>
      <c r="B431" s="22"/>
      <c r="C431" s="27">
        <f>ROUND(233.659577780625,3)</f>
        <v>233.66</v>
      </c>
      <c r="D431" s="27">
        <f>F431</f>
        <v>241.633</v>
      </c>
      <c r="E431" s="27">
        <f>F431</f>
        <v>241.633</v>
      </c>
      <c r="F431" s="27">
        <f>ROUND(241.633,3)</f>
        <v>241.633</v>
      </c>
      <c r="G431" s="24"/>
      <c r="H431" s="36"/>
    </row>
    <row r="432" spans="1:8" ht="12.75" customHeight="1">
      <c r="A432" s="22">
        <v>42677</v>
      </c>
      <c r="B432" s="22"/>
      <c r="C432" s="27">
        <f>ROUND(233.659577780625,3)</f>
        <v>233.66</v>
      </c>
      <c r="D432" s="27">
        <f>F432</f>
        <v>246.428</v>
      </c>
      <c r="E432" s="27">
        <f>F432</f>
        <v>246.428</v>
      </c>
      <c r="F432" s="27">
        <f>ROUND(246.428,3)</f>
        <v>246.428</v>
      </c>
      <c r="G432" s="24"/>
      <c r="H432" s="36"/>
    </row>
    <row r="433" spans="1:8" ht="12.75" customHeight="1">
      <c r="A433" s="22">
        <v>42768</v>
      </c>
      <c r="B433" s="22"/>
      <c r="C433" s="27">
        <f>ROUND(233.659577780625,3)</f>
        <v>233.66</v>
      </c>
      <c r="D433" s="27">
        <f>F433</f>
        <v>251.712</v>
      </c>
      <c r="E433" s="27">
        <f>F433</f>
        <v>251.712</v>
      </c>
      <c r="F433" s="27">
        <f>ROUND(251.712,3)</f>
        <v>251.712</v>
      </c>
      <c r="G433" s="24"/>
      <c r="H433" s="36"/>
    </row>
    <row r="434" spans="1:8" ht="12.75" customHeight="1">
      <c r="A434" s="22" t="s">
        <v>88</v>
      </c>
      <c r="B434" s="22"/>
      <c r="C434" s="23"/>
      <c r="D434" s="23"/>
      <c r="E434" s="23"/>
      <c r="F434" s="23"/>
      <c r="G434" s="24"/>
      <c r="H434" s="36"/>
    </row>
    <row r="435" spans="1:8" ht="12.75" customHeight="1">
      <c r="A435" s="22">
        <v>42495</v>
      </c>
      <c r="B435" s="22"/>
      <c r="C435" s="27">
        <f>ROUND(633.471503177931,3)</f>
        <v>633.472</v>
      </c>
      <c r="D435" s="27">
        <f>F435</f>
        <v>642.846</v>
      </c>
      <c r="E435" s="27">
        <f>F435</f>
        <v>642.846</v>
      </c>
      <c r="F435" s="27">
        <f>ROUND(642.846,3)</f>
        <v>642.846</v>
      </c>
      <c r="G435" s="24"/>
      <c r="H435" s="36"/>
    </row>
    <row r="436" spans="1:8" ht="12.75" customHeight="1">
      <c r="A436" s="22">
        <v>42586</v>
      </c>
      <c r="B436" s="22"/>
      <c r="C436" s="27">
        <f>ROUND(633.471503177931,3)</f>
        <v>633.472</v>
      </c>
      <c r="D436" s="27">
        <f>F436</f>
        <v>654.792</v>
      </c>
      <c r="E436" s="27">
        <f>F436</f>
        <v>654.792</v>
      </c>
      <c r="F436" s="27">
        <f>ROUND(654.792,3)</f>
        <v>654.792</v>
      </c>
      <c r="G436" s="24"/>
      <c r="H436" s="36"/>
    </row>
    <row r="437" spans="1:8" ht="12.75" customHeight="1">
      <c r="A437" s="22">
        <v>42677</v>
      </c>
      <c r="B437" s="22"/>
      <c r="C437" s="27">
        <f>ROUND(633.471503177931,3)</f>
        <v>633.472</v>
      </c>
      <c r="D437" s="27">
        <f>F437</f>
        <v>667.154</v>
      </c>
      <c r="E437" s="27">
        <f>F437</f>
        <v>667.154</v>
      </c>
      <c r="F437" s="27">
        <f>ROUND(667.154,3)</f>
        <v>667.154</v>
      </c>
      <c r="G437" s="24"/>
      <c r="H437" s="36"/>
    </row>
    <row r="438" spans="1:8" ht="12.75" customHeight="1">
      <c r="A438" s="22">
        <v>42768</v>
      </c>
      <c r="B438" s="22"/>
      <c r="C438" s="27">
        <f>ROUND(633.471503177931,3)</f>
        <v>633.472</v>
      </c>
      <c r="D438" s="27">
        <f>F438</f>
        <v>680.289</v>
      </c>
      <c r="E438" s="27">
        <f>F438</f>
        <v>680.289</v>
      </c>
      <c r="F438" s="27">
        <f>ROUND(680.289,3)</f>
        <v>680.289</v>
      </c>
      <c r="G438" s="24"/>
      <c r="H438" s="36"/>
    </row>
    <row r="439" spans="1:8" ht="12.75" customHeight="1">
      <c r="A439" s="22" t="s">
        <v>89</v>
      </c>
      <c r="B439" s="22"/>
      <c r="C439" s="23"/>
      <c r="D439" s="23"/>
      <c r="E439" s="23"/>
      <c r="F439" s="23"/>
      <c r="G439" s="24"/>
      <c r="H439" s="36"/>
    </row>
    <row r="440" spans="1:8" ht="12.75" customHeight="1">
      <c r="A440" s="22">
        <v>42443</v>
      </c>
      <c r="B440" s="22"/>
      <c r="C440" s="24">
        <f>ROUND(26449.89,2)</f>
        <v>26449.89</v>
      </c>
      <c r="D440" s="24">
        <f>F440</f>
        <v>26568.16</v>
      </c>
      <c r="E440" s="24">
        <f>F440</f>
        <v>26568.16</v>
      </c>
      <c r="F440" s="24">
        <f>ROUND(26568.16,2)</f>
        <v>26568.16</v>
      </c>
      <c r="G440" s="24"/>
      <c r="H440" s="36"/>
    </row>
    <row r="441" spans="1:8" ht="12.75" customHeight="1">
      <c r="A441" s="22">
        <v>42534</v>
      </c>
      <c r="B441" s="22"/>
      <c r="C441" s="24">
        <f>ROUND(26449.89,2)</f>
        <v>26449.89</v>
      </c>
      <c r="D441" s="24">
        <f>F441</f>
        <v>26990.64</v>
      </c>
      <c r="E441" s="24">
        <f>F441</f>
        <v>26990.64</v>
      </c>
      <c r="F441" s="24">
        <f>ROUND(26990.64,2)</f>
        <v>26990.64</v>
      </c>
      <c r="G441" s="24"/>
      <c r="H441" s="36"/>
    </row>
    <row r="442" spans="1:8" ht="12.75" customHeight="1">
      <c r="A442" s="22">
        <v>42632</v>
      </c>
      <c r="B442" s="22"/>
      <c r="C442" s="24">
        <f>ROUND(26449.89,2)</f>
        <v>26449.89</v>
      </c>
      <c r="D442" s="24">
        <f>F442</f>
        <v>27493.48</v>
      </c>
      <c r="E442" s="24">
        <f>F442</f>
        <v>27493.48</v>
      </c>
      <c r="F442" s="24">
        <f>ROUND(27493.48,2)</f>
        <v>27493.48</v>
      </c>
      <c r="G442" s="24"/>
      <c r="H442" s="36"/>
    </row>
    <row r="443" spans="1:8" ht="12.75" customHeight="1">
      <c r="A443" s="22" t="s">
        <v>90</v>
      </c>
      <c r="B443" s="22"/>
      <c r="C443" s="23"/>
      <c r="D443" s="23"/>
      <c r="E443" s="23"/>
      <c r="F443" s="23"/>
      <c r="G443" s="24"/>
      <c r="H443" s="36"/>
    </row>
    <row r="444" spans="1:8" ht="12.75" customHeight="1">
      <c r="A444" s="22">
        <v>42445</v>
      </c>
      <c r="B444" s="22"/>
      <c r="C444" s="27">
        <f>ROUND(6.992,3)</f>
        <v>6.992</v>
      </c>
      <c r="D444" s="27">
        <f>ROUND(7.2,3)</f>
        <v>7.2</v>
      </c>
      <c r="E444" s="27">
        <f>ROUND(7.1,3)</f>
        <v>7.1</v>
      </c>
      <c r="F444" s="27">
        <f>ROUND(7.15,3)</f>
        <v>7.15</v>
      </c>
      <c r="G444" s="24"/>
      <c r="H444" s="36"/>
    </row>
    <row r="445" spans="1:8" ht="12.75" customHeight="1">
      <c r="A445" s="22">
        <v>42480</v>
      </c>
      <c r="B445" s="22"/>
      <c r="C445" s="27">
        <f>ROUND(6.992,3)</f>
        <v>6.992</v>
      </c>
      <c r="D445" s="27">
        <f>ROUND(7.28,3)</f>
        <v>7.28</v>
      </c>
      <c r="E445" s="27">
        <f>ROUND(7.18,3)</f>
        <v>7.18</v>
      </c>
      <c r="F445" s="27">
        <f>ROUND(7.23,3)</f>
        <v>7.23</v>
      </c>
      <c r="G445" s="24"/>
      <c r="H445" s="36"/>
    </row>
    <row r="446" spans="1:8" ht="12.75" customHeight="1">
      <c r="A446" s="22">
        <v>42508</v>
      </c>
      <c r="B446" s="22"/>
      <c r="C446" s="27">
        <f>ROUND(6.992,3)</f>
        <v>6.992</v>
      </c>
      <c r="D446" s="27">
        <f>ROUND(7.38,3)</f>
        <v>7.38</v>
      </c>
      <c r="E446" s="27">
        <f>ROUND(7.28,3)</f>
        <v>7.28</v>
      </c>
      <c r="F446" s="27">
        <f>ROUND(7.33,3)</f>
        <v>7.33</v>
      </c>
      <c r="G446" s="24"/>
      <c r="H446" s="36"/>
    </row>
    <row r="447" spans="1:8" ht="12.75" customHeight="1">
      <c r="A447" s="22">
        <v>42536</v>
      </c>
      <c r="B447" s="22"/>
      <c r="C447" s="27">
        <f>ROUND(6.992,3)</f>
        <v>6.992</v>
      </c>
      <c r="D447" s="27">
        <f>ROUND(7.43,3)</f>
        <v>7.43</v>
      </c>
      <c r="E447" s="27">
        <f>ROUND(7.33,3)</f>
        <v>7.33</v>
      </c>
      <c r="F447" s="27">
        <f>ROUND(7.38,3)</f>
        <v>7.38</v>
      </c>
      <c r="G447" s="24"/>
      <c r="H447" s="36"/>
    </row>
    <row r="448" spans="1:8" ht="12.75" customHeight="1">
      <c r="A448" s="22">
        <v>42571</v>
      </c>
      <c r="B448" s="22"/>
      <c r="C448" s="27">
        <f>ROUND(6.992,3)</f>
        <v>6.992</v>
      </c>
      <c r="D448" s="27">
        <f>ROUND(7.55,3)</f>
        <v>7.55</v>
      </c>
      <c r="E448" s="27">
        <f>ROUND(7.45,3)</f>
        <v>7.45</v>
      </c>
      <c r="F448" s="27">
        <f>ROUND(7.5,3)</f>
        <v>7.5</v>
      </c>
      <c r="G448" s="24"/>
      <c r="H448" s="36"/>
    </row>
    <row r="449" spans="1:8" ht="12.75" customHeight="1">
      <c r="A449" s="22">
        <v>42599</v>
      </c>
      <c r="B449" s="22"/>
      <c r="C449" s="27">
        <f>ROUND(6.992,3)</f>
        <v>6.992</v>
      </c>
      <c r="D449" s="27">
        <f>ROUND(7.58,3)</f>
        <v>7.58</v>
      </c>
      <c r="E449" s="27">
        <f>ROUND(7.48,3)</f>
        <v>7.48</v>
      </c>
      <c r="F449" s="27">
        <f>ROUND(7.53,3)</f>
        <v>7.53</v>
      </c>
      <c r="G449" s="24"/>
      <c r="H449" s="36"/>
    </row>
    <row r="450" spans="1:8" ht="12.75" customHeight="1">
      <c r="A450" s="22">
        <v>42634</v>
      </c>
      <c r="B450" s="22"/>
      <c r="C450" s="27">
        <f>ROUND(6.992,3)</f>
        <v>6.992</v>
      </c>
      <c r="D450" s="27">
        <f>ROUND(7.63,3)</f>
        <v>7.63</v>
      </c>
      <c r="E450" s="27">
        <f>ROUND(7.53,3)</f>
        <v>7.53</v>
      </c>
      <c r="F450" s="27">
        <f>ROUND(7.58,3)</f>
        <v>7.58</v>
      </c>
      <c r="G450" s="24"/>
      <c r="H450" s="36"/>
    </row>
    <row r="451" spans="1:8" ht="12.75" customHeight="1">
      <c r="A451" s="22">
        <v>42725</v>
      </c>
      <c r="B451" s="22"/>
      <c r="C451" s="27">
        <f>ROUND(6.992,3)</f>
        <v>6.992</v>
      </c>
      <c r="D451" s="27">
        <f>ROUND(7.85,3)</f>
        <v>7.85</v>
      </c>
      <c r="E451" s="27">
        <f>ROUND(7.75,3)</f>
        <v>7.75</v>
      </c>
      <c r="F451" s="27">
        <f>ROUND(7.8,3)</f>
        <v>7.8</v>
      </c>
      <c r="G451" s="24"/>
      <c r="H451" s="36"/>
    </row>
    <row r="452" spans="1:8" ht="12.75" customHeight="1">
      <c r="A452" s="22">
        <v>42809</v>
      </c>
      <c r="B452" s="22"/>
      <c r="C452" s="27">
        <f>ROUND(6.992,3)</f>
        <v>6.992</v>
      </c>
      <c r="D452" s="27">
        <f>ROUND(8.04,3)</f>
        <v>8.04</v>
      </c>
      <c r="E452" s="27">
        <f>ROUND(7.94,3)</f>
        <v>7.94</v>
      </c>
      <c r="F452" s="27">
        <f>ROUND(7.99,3)</f>
        <v>7.99</v>
      </c>
      <c r="G452" s="24"/>
      <c r="H452" s="36"/>
    </row>
    <row r="453" spans="1:8" ht="12.75" customHeight="1">
      <c r="A453" s="22">
        <v>42907</v>
      </c>
      <c r="B453" s="22"/>
      <c r="C453" s="27">
        <f>ROUND(6.992,3)</f>
        <v>6.992</v>
      </c>
      <c r="D453" s="27">
        <f>ROUND(8.15,3)</f>
        <v>8.15</v>
      </c>
      <c r="E453" s="27">
        <f>ROUND(8.05,3)</f>
        <v>8.05</v>
      </c>
      <c r="F453" s="27">
        <f>ROUND(8.1,3)</f>
        <v>8.1</v>
      </c>
      <c r="G453" s="24"/>
      <c r="H453" s="36"/>
    </row>
    <row r="454" spans="1:8" ht="12.75" customHeight="1">
      <c r="A454" s="22">
        <v>42998</v>
      </c>
      <c r="B454" s="22"/>
      <c r="C454" s="27">
        <f>ROUND(6.992,3)</f>
        <v>6.992</v>
      </c>
      <c r="D454" s="27">
        <f>ROUND(8.26,3)</f>
        <v>8.26</v>
      </c>
      <c r="E454" s="27">
        <f>ROUND(8.16,3)</f>
        <v>8.16</v>
      </c>
      <c r="F454" s="27">
        <f>ROUND(8.21,3)</f>
        <v>8.21</v>
      </c>
      <c r="G454" s="24"/>
      <c r="H454" s="36"/>
    </row>
    <row r="455" spans="1:8" ht="12.75" customHeight="1">
      <c r="A455" s="22">
        <v>43089</v>
      </c>
      <c r="B455" s="22"/>
      <c r="C455" s="27">
        <f>ROUND(6.992,3)</f>
        <v>6.992</v>
      </c>
      <c r="D455" s="27">
        <f>ROUND(8.35,3)</f>
        <v>8.35</v>
      </c>
      <c r="E455" s="27">
        <f>ROUND(8.25,3)</f>
        <v>8.25</v>
      </c>
      <c r="F455" s="27">
        <f>ROUND(8.3,3)</f>
        <v>8.3</v>
      </c>
      <c r="G455" s="24"/>
      <c r="H455" s="36"/>
    </row>
    <row r="456" spans="1:8" ht="12.75" customHeight="1">
      <c r="A456" s="22" t="s">
        <v>91</v>
      </c>
      <c r="B456" s="22"/>
      <c r="C456" s="23"/>
      <c r="D456" s="23"/>
      <c r="E456" s="23"/>
      <c r="F456" s="23"/>
      <c r="G456" s="24"/>
      <c r="H456" s="36"/>
    </row>
    <row r="457" spans="1:8" ht="12.75" customHeight="1">
      <c r="A457" s="22">
        <v>42495</v>
      </c>
      <c r="B457" s="22"/>
      <c r="C457" s="27">
        <f>ROUND(484.01,3)</f>
        <v>484.01</v>
      </c>
      <c r="D457" s="27">
        <f>F457</f>
        <v>491.109</v>
      </c>
      <c r="E457" s="27">
        <f>F457</f>
        <v>491.109</v>
      </c>
      <c r="F457" s="27">
        <f>ROUND(491.109,3)</f>
        <v>491.109</v>
      </c>
      <c r="G457" s="24"/>
      <c r="H457" s="36"/>
    </row>
    <row r="458" spans="1:8" ht="12.75" customHeight="1">
      <c r="A458" s="22">
        <v>42586</v>
      </c>
      <c r="B458" s="22"/>
      <c r="C458" s="27">
        <f>ROUND(484.01,3)</f>
        <v>484.01</v>
      </c>
      <c r="D458" s="27">
        <f>F458</f>
        <v>500.454</v>
      </c>
      <c r="E458" s="27">
        <f>F458</f>
        <v>500.454</v>
      </c>
      <c r="F458" s="27">
        <f>ROUND(500.454,3)</f>
        <v>500.454</v>
      </c>
      <c r="G458" s="24"/>
      <c r="H458" s="36"/>
    </row>
    <row r="459" spans="1:8" ht="12.75" customHeight="1">
      <c r="A459" s="22">
        <v>42677</v>
      </c>
      <c r="B459" s="22"/>
      <c r="C459" s="27">
        <f>ROUND(484.01,3)</f>
        <v>484.01</v>
      </c>
      <c r="D459" s="27">
        <f>F459</f>
        <v>510.346</v>
      </c>
      <c r="E459" s="27">
        <f>F459</f>
        <v>510.346</v>
      </c>
      <c r="F459" s="27">
        <f>ROUND(510.346,3)</f>
        <v>510.346</v>
      </c>
      <c r="G459" s="24"/>
      <c r="H459" s="36"/>
    </row>
    <row r="460" spans="1:8" ht="12.75" customHeight="1">
      <c r="A460" s="22">
        <v>42768</v>
      </c>
      <c r="B460" s="22"/>
      <c r="C460" s="27">
        <f>ROUND(484.01,3)</f>
        <v>484.01</v>
      </c>
      <c r="D460" s="27">
        <f>F460</f>
        <v>521.25</v>
      </c>
      <c r="E460" s="27">
        <f>F460</f>
        <v>521.25</v>
      </c>
      <c r="F460" s="27">
        <f>ROUND(521.25,3)</f>
        <v>521.25</v>
      </c>
      <c r="G460" s="24"/>
      <c r="H460" s="36"/>
    </row>
    <row r="461" spans="1:8" ht="12.75" customHeight="1">
      <c r="A461" s="22" t="s">
        <v>92</v>
      </c>
      <c r="B461" s="22"/>
      <c r="C461" s="23"/>
      <c r="D461" s="23"/>
      <c r="E461" s="23"/>
      <c r="F461" s="23"/>
      <c r="G461" s="24"/>
      <c r="H461" s="36"/>
    </row>
    <row r="462" spans="1:8" ht="12.75" customHeight="1">
      <c r="A462" s="22">
        <v>42723</v>
      </c>
      <c r="B462" s="22"/>
      <c r="C462" s="26">
        <f>ROUND(100.214268312009,5)</f>
        <v>100.21427</v>
      </c>
      <c r="D462" s="26">
        <f>F462</f>
        <v>100.18927</v>
      </c>
      <c r="E462" s="26">
        <f>F462</f>
        <v>100.18927</v>
      </c>
      <c r="F462" s="26">
        <f>ROUND(100.189267021666,5)</f>
        <v>100.18927</v>
      </c>
      <c r="G462" s="24"/>
      <c r="H462" s="36"/>
    </row>
    <row r="463" spans="1:8" ht="12.75" customHeight="1">
      <c r="A463" s="22" t="s">
        <v>93</v>
      </c>
      <c r="B463" s="22"/>
      <c r="C463" s="23"/>
      <c r="D463" s="23"/>
      <c r="E463" s="23"/>
      <c r="F463" s="23"/>
      <c r="G463" s="24"/>
      <c r="H463" s="36"/>
    </row>
    <row r="464" spans="1:8" ht="12.75" customHeight="1">
      <c r="A464" s="22">
        <v>42810</v>
      </c>
      <c r="B464" s="22"/>
      <c r="C464" s="26">
        <f>ROUND(100.214268312009,5)</f>
        <v>100.21427</v>
      </c>
      <c r="D464" s="26">
        <f>F464</f>
        <v>100.21427</v>
      </c>
      <c r="E464" s="26">
        <f>F464</f>
        <v>100.21427</v>
      </c>
      <c r="F464" s="26">
        <f>ROUND(100.214268312009,5)</f>
        <v>100.21427</v>
      </c>
      <c r="G464" s="24"/>
      <c r="H464" s="36"/>
    </row>
    <row r="465" spans="1:8" ht="12.75" customHeight="1">
      <c r="A465" s="22" t="s">
        <v>94</v>
      </c>
      <c r="B465" s="22"/>
      <c r="C465" s="23"/>
      <c r="D465" s="23"/>
      <c r="E465" s="23"/>
      <c r="F465" s="23"/>
      <c r="G465" s="24"/>
      <c r="H465" s="36"/>
    </row>
    <row r="466" spans="1:8" ht="12.75" customHeight="1">
      <c r="A466" s="22">
        <v>43087</v>
      </c>
      <c r="B466" s="22"/>
      <c r="C466" s="26">
        <f>ROUND(100.122613372743,5)</f>
        <v>100.12261</v>
      </c>
      <c r="D466" s="26">
        <f>F466</f>
        <v>100.64035</v>
      </c>
      <c r="E466" s="26">
        <f>F466</f>
        <v>100.64035</v>
      </c>
      <c r="F466" s="26">
        <f>ROUND(100.64035451382,5)</f>
        <v>100.64035</v>
      </c>
      <c r="G466" s="24"/>
      <c r="H466" s="36"/>
    </row>
    <row r="467" spans="1:8" ht="12.75" customHeight="1">
      <c r="A467" s="22" t="s">
        <v>95</v>
      </c>
      <c r="B467" s="22"/>
      <c r="C467" s="23"/>
      <c r="D467" s="23"/>
      <c r="E467" s="23"/>
      <c r="F467" s="23"/>
      <c r="G467" s="24"/>
      <c r="H467" s="36"/>
    </row>
    <row r="468" spans="1:8" ht="12.75" customHeight="1">
      <c r="A468" s="22">
        <v>43175</v>
      </c>
      <c r="B468" s="22"/>
      <c r="C468" s="26">
        <f>ROUND(100.122613372743,5)</f>
        <v>100.12261</v>
      </c>
      <c r="D468" s="26">
        <f>F468</f>
        <v>100.12261</v>
      </c>
      <c r="E468" s="26">
        <f>F468</f>
        <v>100.12261</v>
      </c>
      <c r="F468" s="26">
        <f>ROUND(100.122613372743,5)</f>
        <v>100.12261</v>
      </c>
      <c r="G468" s="24"/>
      <c r="H468" s="36"/>
    </row>
    <row r="469" spans="1:8" ht="12.75" customHeight="1">
      <c r="A469" s="22" t="s">
        <v>96</v>
      </c>
      <c r="B469" s="22"/>
      <c r="C469" s="23"/>
      <c r="D469" s="23"/>
      <c r="E469" s="23"/>
      <c r="F469" s="23"/>
      <c r="G469" s="24"/>
      <c r="H469" s="36"/>
    </row>
    <row r="470" spans="1:8" ht="12.75" customHeight="1">
      <c r="A470" s="22">
        <v>44182</v>
      </c>
      <c r="B470" s="22"/>
      <c r="C470" s="26">
        <f>ROUND(100.467246669396,5)</f>
        <v>100.46725</v>
      </c>
      <c r="D470" s="26">
        <f>F470</f>
        <v>100.93727</v>
      </c>
      <c r="E470" s="26">
        <f>F470</f>
        <v>100.93727</v>
      </c>
      <c r="F470" s="26">
        <f>ROUND(100.937268022516,5)</f>
        <v>100.93727</v>
      </c>
      <c r="G470" s="24"/>
      <c r="H470" s="36"/>
    </row>
    <row r="471" spans="1:8" ht="12.75" customHeight="1">
      <c r="A471" s="22" t="s">
        <v>97</v>
      </c>
      <c r="B471" s="22"/>
      <c r="C471" s="23"/>
      <c r="D471" s="23"/>
      <c r="E471" s="23"/>
      <c r="F471" s="23"/>
      <c r="G471" s="24"/>
      <c r="H471" s="36"/>
    </row>
    <row r="472" spans="1:8" ht="12.75" customHeight="1">
      <c r="A472" s="22">
        <v>44271</v>
      </c>
      <c r="B472" s="22"/>
      <c r="C472" s="26">
        <f>ROUND(100.467246669396,5)</f>
        <v>100.46725</v>
      </c>
      <c r="D472" s="26">
        <f>F472</f>
        <v>100.46725</v>
      </c>
      <c r="E472" s="26">
        <f>F472</f>
        <v>100.46725</v>
      </c>
      <c r="F472" s="26">
        <f>ROUND(100.467246669396,5)</f>
        <v>100.46725</v>
      </c>
      <c r="G472" s="24"/>
      <c r="H472" s="36"/>
    </row>
    <row r="473" spans="1:8" ht="12.75" customHeight="1">
      <c r="A473" s="22" t="s">
        <v>98</v>
      </c>
      <c r="B473" s="22"/>
      <c r="C473" s="23"/>
      <c r="D473" s="23"/>
      <c r="E473" s="23"/>
      <c r="F473" s="23"/>
      <c r="G473" s="24"/>
      <c r="H473" s="36"/>
    </row>
    <row r="474" spans="1:8" ht="12.75" customHeight="1">
      <c r="A474" s="22">
        <v>46008</v>
      </c>
      <c r="B474" s="22"/>
      <c r="C474" s="26">
        <f>ROUND(100.387309645444,5)</f>
        <v>100.38731</v>
      </c>
      <c r="D474" s="26">
        <f>F474</f>
        <v>103.13147</v>
      </c>
      <c r="E474" s="26">
        <f>F474</f>
        <v>103.13147</v>
      </c>
      <c r="F474" s="26">
        <f>ROUND(103.131470939743,5)</f>
        <v>103.13147</v>
      </c>
      <c r="G474" s="24"/>
      <c r="H474" s="36"/>
    </row>
    <row r="475" spans="1:8" ht="12.75" customHeight="1">
      <c r="A475" s="22" t="s">
        <v>99</v>
      </c>
      <c r="B475" s="22"/>
      <c r="C475" s="23"/>
      <c r="D475" s="23"/>
      <c r="E475" s="23"/>
      <c r="F475" s="23"/>
      <c r="G475" s="24"/>
      <c r="H475" s="36"/>
    </row>
    <row r="476" spans="1:8" ht="12.75" customHeight="1" thickBot="1">
      <c r="A476" s="32">
        <v>46097</v>
      </c>
      <c r="B476" s="32"/>
      <c r="C476" s="33">
        <f>ROUND(100.387309645444,5)</f>
        <v>100.38731</v>
      </c>
      <c r="D476" s="33">
        <f>F476</f>
        <v>100.38731</v>
      </c>
      <c r="E476" s="33">
        <f>F476</f>
        <v>100.38731</v>
      </c>
      <c r="F476" s="33">
        <f>ROUND(100.387309645444,5)</f>
        <v>100.38731</v>
      </c>
      <c r="G476" s="34"/>
      <c r="H476" s="37"/>
    </row>
  </sheetData>
  <sheetProtection/>
  <mergeCells count="475">
    <mergeCell ref="A472:B472"/>
    <mergeCell ref="A473:B473"/>
    <mergeCell ref="A474:B474"/>
    <mergeCell ref="A475:B475"/>
    <mergeCell ref="A476:B476"/>
    <mergeCell ref="A466:B466"/>
    <mergeCell ref="A467:B467"/>
    <mergeCell ref="A468:B468"/>
    <mergeCell ref="A469:B469"/>
    <mergeCell ref="A470:B470"/>
    <mergeCell ref="A471:B471"/>
    <mergeCell ref="A460:B460"/>
    <mergeCell ref="A461:B461"/>
    <mergeCell ref="A462:B462"/>
    <mergeCell ref="A463:B463"/>
    <mergeCell ref="A464:B464"/>
    <mergeCell ref="A465:B465"/>
    <mergeCell ref="A454:B454"/>
    <mergeCell ref="A455:B455"/>
    <mergeCell ref="A456:B456"/>
    <mergeCell ref="A457:B457"/>
    <mergeCell ref="A458:B458"/>
    <mergeCell ref="A459:B459"/>
    <mergeCell ref="A448:B448"/>
    <mergeCell ref="A449:B449"/>
    <mergeCell ref="A450:B450"/>
    <mergeCell ref="A451:B451"/>
    <mergeCell ref="A452:B452"/>
    <mergeCell ref="A453:B453"/>
    <mergeCell ref="A442:B442"/>
    <mergeCell ref="A443:B443"/>
    <mergeCell ref="A444:B444"/>
    <mergeCell ref="A445:B445"/>
    <mergeCell ref="A446:B446"/>
    <mergeCell ref="A447:B447"/>
    <mergeCell ref="A436:B436"/>
    <mergeCell ref="A437:B437"/>
    <mergeCell ref="A438:B438"/>
    <mergeCell ref="A439:B439"/>
    <mergeCell ref="A440:B440"/>
    <mergeCell ref="A441:B441"/>
    <mergeCell ref="A430:B430"/>
    <mergeCell ref="A431:B431"/>
    <mergeCell ref="A432:B432"/>
    <mergeCell ref="A433:B433"/>
    <mergeCell ref="A434:B434"/>
    <mergeCell ref="A435:B435"/>
    <mergeCell ref="A424:B424"/>
    <mergeCell ref="A425:B425"/>
    <mergeCell ref="A426:B426"/>
    <mergeCell ref="A427:B427"/>
    <mergeCell ref="A428:B428"/>
    <mergeCell ref="A429:B429"/>
    <mergeCell ref="A418:B418"/>
    <mergeCell ref="A419:B419"/>
    <mergeCell ref="A420:B420"/>
    <mergeCell ref="A421:B421"/>
    <mergeCell ref="A422:B422"/>
    <mergeCell ref="A423:B423"/>
    <mergeCell ref="A412:B412"/>
    <mergeCell ref="A413:B413"/>
    <mergeCell ref="A414:B414"/>
    <mergeCell ref="A415:B415"/>
    <mergeCell ref="A416:B416"/>
    <mergeCell ref="A417:B417"/>
    <mergeCell ref="A406:B406"/>
    <mergeCell ref="A407:B407"/>
    <mergeCell ref="A408:B408"/>
    <mergeCell ref="A409:B409"/>
    <mergeCell ref="A410:B410"/>
    <mergeCell ref="A411:B411"/>
    <mergeCell ref="A400:B400"/>
    <mergeCell ref="A401:B401"/>
    <mergeCell ref="A402:B402"/>
    <mergeCell ref="A403:B403"/>
    <mergeCell ref="A404:B404"/>
    <mergeCell ref="A405:B405"/>
    <mergeCell ref="A394:B394"/>
    <mergeCell ref="A395:B395"/>
    <mergeCell ref="A396:B396"/>
    <mergeCell ref="A397:B397"/>
    <mergeCell ref="A398:B398"/>
    <mergeCell ref="A399:B399"/>
    <mergeCell ref="A388:B388"/>
    <mergeCell ref="A389:B389"/>
    <mergeCell ref="A390:B390"/>
    <mergeCell ref="A391:B391"/>
    <mergeCell ref="A392:B392"/>
    <mergeCell ref="A393:B393"/>
    <mergeCell ref="A382:B382"/>
    <mergeCell ref="A383:B383"/>
    <mergeCell ref="A384:B384"/>
    <mergeCell ref="A385:B385"/>
    <mergeCell ref="A386:B386"/>
    <mergeCell ref="A387:B387"/>
    <mergeCell ref="A376:B376"/>
    <mergeCell ref="A377:B377"/>
    <mergeCell ref="A378:B378"/>
    <mergeCell ref="A379:B379"/>
    <mergeCell ref="A380:B380"/>
    <mergeCell ref="A381:B381"/>
    <mergeCell ref="A370:B370"/>
    <mergeCell ref="A371:B371"/>
    <mergeCell ref="A372:B372"/>
    <mergeCell ref="A373:B373"/>
    <mergeCell ref="A374:B374"/>
    <mergeCell ref="A375:B375"/>
    <mergeCell ref="A364:B364"/>
    <mergeCell ref="A365:B365"/>
    <mergeCell ref="A366:B366"/>
    <mergeCell ref="A367:B367"/>
    <mergeCell ref="A368:B368"/>
    <mergeCell ref="A369:B369"/>
    <mergeCell ref="A358:B358"/>
    <mergeCell ref="A359:B359"/>
    <mergeCell ref="A360:B360"/>
    <mergeCell ref="A361:B361"/>
    <mergeCell ref="A362:B362"/>
    <mergeCell ref="A363:B363"/>
    <mergeCell ref="A352:B352"/>
    <mergeCell ref="A353:B353"/>
    <mergeCell ref="A354:B354"/>
    <mergeCell ref="A355:B355"/>
    <mergeCell ref="A356:B356"/>
    <mergeCell ref="A357:B357"/>
    <mergeCell ref="A346:B346"/>
    <mergeCell ref="A347:B347"/>
    <mergeCell ref="A348:B348"/>
    <mergeCell ref="A349:B349"/>
    <mergeCell ref="A350:B350"/>
    <mergeCell ref="A351:B351"/>
    <mergeCell ref="A340:B340"/>
    <mergeCell ref="A341:B341"/>
    <mergeCell ref="A342:B342"/>
    <mergeCell ref="A343:B343"/>
    <mergeCell ref="A344:B344"/>
    <mergeCell ref="A345:B345"/>
    <mergeCell ref="A334:B334"/>
    <mergeCell ref="A335:B335"/>
    <mergeCell ref="A336:B336"/>
    <mergeCell ref="A337:B337"/>
    <mergeCell ref="A338:B338"/>
    <mergeCell ref="A339:B339"/>
    <mergeCell ref="A328:B328"/>
    <mergeCell ref="A329:B329"/>
    <mergeCell ref="A330:B330"/>
    <mergeCell ref="A331:B331"/>
    <mergeCell ref="A332:B332"/>
    <mergeCell ref="A333:B333"/>
    <mergeCell ref="A322:B322"/>
    <mergeCell ref="A323:B323"/>
    <mergeCell ref="A324:B324"/>
    <mergeCell ref="A325:B325"/>
    <mergeCell ref="A326:B326"/>
    <mergeCell ref="A327:B327"/>
    <mergeCell ref="A316:B316"/>
    <mergeCell ref="A317:B317"/>
    <mergeCell ref="A318:B318"/>
    <mergeCell ref="A319:B319"/>
    <mergeCell ref="A320:B320"/>
    <mergeCell ref="A321:B321"/>
    <mergeCell ref="A310:B310"/>
    <mergeCell ref="A311:B311"/>
    <mergeCell ref="A312:B312"/>
    <mergeCell ref="A313:B313"/>
    <mergeCell ref="A314:B314"/>
    <mergeCell ref="A315:B315"/>
    <mergeCell ref="A304:B304"/>
    <mergeCell ref="A305:B305"/>
    <mergeCell ref="A306:B306"/>
    <mergeCell ref="A307:B307"/>
    <mergeCell ref="A308:B308"/>
    <mergeCell ref="A309:B309"/>
    <mergeCell ref="A298:B298"/>
    <mergeCell ref="A299:B299"/>
    <mergeCell ref="A300:B300"/>
    <mergeCell ref="A301:B301"/>
    <mergeCell ref="A302:B302"/>
    <mergeCell ref="A303:B303"/>
    <mergeCell ref="A292:B292"/>
    <mergeCell ref="A293:B293"/>
    <mergeCell ref="A294:B294"/>
    <mergeCell ref="A295:B295"/>
    <mergeCell ref="A296:B296"/>
    <mergeCell ref="A297:B297"/>
    <mergeCell ref="A286:B286"/>
    <mergeCell ref="A287:B287"/>
    <mergeCell ref="A288:B288"/>
    <mergeCell ref="A289:B289"/>
    <mergeCell ref="A290:B290"/>
    <mergeCell ref="A291:B291"/>
    <mergeCell ref="A280:B280"/>
    <mergeCell ref="A281:B281"/>
    <mergeCell ref="A282:B282"/>
    <mergeCell ref="A283:B283"/>
    <mergeCell ref="A284:B284"/>
    <mergeCell ref="A285:B285"/>
    <mergeCell ref="A274:B274"/>
    <mergeCell ref="A275:B275"/>
    <mergeCell ref="A276:B276"/>
    <mergeCell ref="A277:B277"/>
    <mergeCell ref="A278:B278"/>
    <mergeCell ref="A279:B279"/>
    <mergeCell ref="A268:B268"/>
    <mergeCell ref="A269:B269"/>
    <mergeCell ref="A270:B270"/>
    <mergeCell ref="A271:B271"/>
    <mergeCell ref="A272:B272"/>
    <mergeCell ref="A273:B273"/>
    <mergeCell ref="A262:B262"/>
    <mergeCell ref="A263:B263"/>
    <mergeCell ref="A264:B264"/>
    <mergeCell ref="A265:B265"/>
    <mergeCell ref="A266:B266"/>
    <mergeCell ref="A267:B267"/>
    <mergeCell ref="A256:B256"/>
    <mergeCell ref="A257:B257"/>
    <mergeCell ref="A258:B258"/>
    <mergeCell ref="A259:B259"/>
    <mergeCell ref="A260:B260"/>
    <mergeCell ref="A261:B261"/>
    <mergeCell ref="A250:B250"/>
    <mergeCell ref="A251:B251"/>
    <mergeCell ref="A252:B252"/>
    <mergeCell ref="A253:B253"/>
    <mergeCell ref="A254:B254"/>
    <mergeCell ref="A255:B255"/>
    <mergeCell ref="A244:B244"/>
    <mergeCell ref="A245:B245"/>
    <mergeCell ref="A246:B246"/>
    <mergeCell ref="A247:B247"/>
    <mergeCell ref="A248:B248"/>
    <mergeCell ref="A249:B249"/>
    <mergeCell ref="A238:B238"/>
    <mergeCell ref="A239:B239"/>
    <mergeCell ref="A240:B240"/>
    <mergeCell ref="A241:B241"/>
    <mergeCell ref="A242:B242"/>
    <mergeCell ref="A243:B243"/>
    <mergeCell ref="A232:B232"/>
    <mergeCell ref="A233:B233"/>
    <mergeCell ref="A234:B234"/>
    <mergeCell ref="A235:B235"/>
    <mergeCell ref="A236:B236"/>
    <mergeCell ref="A237:B237"/>
    <mergeCell ref="A226:B226"/>
    <mergeCell ref="A227:B227"/>
    <mergeCell ref="A228:B228"/>
    <mergeCell ref="A229:B229"/>
    <mergeCell ref="A230:B230"/>
    <mergeCell ref="A231:B231"/>
    <mergeCell ref="A220:B220"/>
    <mergeCell ref="A221:B221"/>
    <mergeCell ref="A222:B222"/>
    <mergeCell ref="A223:B223"/>
    <mergeCell ref="A224:B224"/>
    <mergeCell ref="A225:B225"/>
    <mergeCell ref="A214:B214"/>
    <mergeCell ref="A215:B215"/>
    <mergeCell ref="A216:B216"/>
    <mergeCell ref="A217:B217"/>
    <mergeCell ref="A218:B218"/>
    <mergeCell ref="A219:B219"/>
    <mergeCell ref="A208:B208"/>
    <mergeCell ref="A209:B209"/>
    <mergeCell ref="A210:B210"/>
    <mergeCell ref="A211:B211"/>
    <mergeCell ref="A212:B212"/>
    <mergeCell ref="A213:B213"/>
    <mergeCell ref="A202:B202"/>
    <mergeCell ref="A203:B203"/>
    <mergeCell ref="A204:B204"/>
    <mergeCell ref="A205:B205"/>
    <mergeCell ref="A206:B206"/>
    <mergeCell ref="A207:B207"/>
    <mergeCell ref="A196:B196"/>
    <mergeCell ref="A197:B197"/>
    <mergeCell ref="A198:B198"/>
    <mergeCell ref="A199:B199"/>
    <mergeCell ref="A200:B200"/>
    <mergeCell ref="A201:B201"/>
    <mergeCell ref="A190:B190"/>
    <mergeCell ref="A191:B191"/>
    <mergeCell ref="A192:B192"/>
    <mergeCell ref="A193:B193"/>
    <mergeCell ref="A194:B194"/>
    <mergeCell ref="A195:B195"/>
    <mergeCell ref="A184:B184"/>
    <mergeCell ref="A185:B185"/>
    <mergeCell ref="A186:B186"/>
    <mergeCell ref="A187:B187"/>
    <mergeCell ref="A188:B188"/>
    <mergeCell ref="A189:B189"/>
    <mergeCell ref="A178:B178"/>
    <mergeCell ref="A179:B179"/>
    <mergeCell ref="A180:B180"/>
    <mergeCell ref="A181:B181"/>
    <mergeCell ref="A182:B182"/>
    <mergeCell ref="A183:B183"/>
    <mergeCell ref="A172:B172"/>
    <mergeCell ref="A173:B173"/>
    <mergeCell ref="A174:B174"/>
    <mergeCell ref="A175:B175"/>
    <mergeCell ref="A176:B176"/>
    <mergeCell ref="A177:B177"/>
    <mergeCell ref="A166:B166"/>
    <mergeCell ref="A167:B167"/>
    <mergeCell ref="A168:B168"/>
    <mergeCell ref="A169:B169"/>
    <mergeCell ref="A170:B170"/>
    <mergeCell ref="A171:B171"/>
    <mergeCell ref="A160:B160"/>
    <mergeCell ref="A161:B161"/>
    <mergeCell ref="A162:B162"/>
    <mergeCell ref="A163:B163"/>
    <mergeCell ref="A164:B164"/>
    <mergeCell ref="A165:B165"/>
    <mergeCell ref="A154:B154"/>
    <mergeCell ref="A155:B155"/>
    <mergeCell ref="A156:B156"/>
    <mergeCell ref="A157:B157"/>
    <mergeCell ref="A158:B158"/>
    <mergeCell ref="A159:B159"/>
    <mergeCell ref="A148:B148"/>
    <mergeCell ref="A149:B149"/>
    <mergeCell ref="A150:B150"/>
    <mergeCell ref="A151:B151"/>
    <mergeCell ref="A152:B152"/>
    <mergeCell ref="A153:B153"/>
    <mergeCell ref="A142:B142"/>
    <mergeCell ref="A143:B143"/>
    <mergeCell ref="A144:B144"/>
    <mergeCell ref="A145:B145"/>
    <mergeCell ref="A146:B146"/>
    <mergeCell ref="A147:B147"/>
    <mergeCell ref="A136:B136"/>
    <mergeCell ref="A137:B137"/>
    <mergeCell ref="A138:B138"/>
    <mergeCell ref="A139:B139"/>
    <mergeCell ref="A140:B140"/>
    <mergeCell ref="A141:B141"/>
    <mergeCell ref="A130:B130"/>
    <mergeCell ref="A131:B131"/>
    <mergeCell ref="A132:B132"/>
    <mergeCell ref="A133:B133"/>
    <mergeCell ref="A134:B134"/>
    <mergeCell ref="A135:B135"/>
    <mergeCell ref="A124:B124"/>
    <mergeCell ref="A125:B125"/>
    <mergeCell ref="A126:B126"/>
    <mergeCell ref="A127:B127"/>
    <mergeCell ref="A128:B128"/>
    <mergeCell ref="A129:B129"/>
    <mergeCell ref="A118:B118"/>
    <mergeCell ref="A119:B119"/>
    <mergeCell ref="A120:B120"/>
    <mergeCell ref="A121:B121"/>
    <mergeCell ref="A122:B122"/>
    <mergeCell ref="A123:B123"/>
    <mergeCell ref="A116:B116"/>
    <mergeCell ref="A117:B117"/>
    <mergeCell ref="A110:B110"/>
    <mergeCell ref="A111:B111"/>
    <mergeCell ref="A112:B112"/>
    <mergeCell ref="A113:B113"/>
    <mergeCell ref="A114:B114"/>
    <mergeCell ref="A115:B115"/>
    <mergeCell ref="A104:B104"/>
    <mergeCell ref="A105:B105"/>
    <mergeCell ref="A106:B106"/>
    <mergeCell ref="A107:B107"/>
    <mergeCell ref="A108:B108"/>
    <mergeCell ref="A109:B109"/>
    <mergeCell ref="A98:B98"/>
    <mergeCell ref="A99:B99"/>
    <mergeCell ref="A100:B100"/>
    <mergeCell ref="A101:B101"/>
    <mergeCell ref="A102:B102"/>
    <mergeCell ref="A103:B103"/>
    <mergeCell ref="A92:B92"/>
    <mergeCell ref="A93:B93"/>
    <mergeCell ref="A94:B94"/>
    <mergeCell ref="A95:B95"/>
    <mergeCell ref="A96:B96"/>
    <mergeCell ref="A97:B97"/>
    <mergeCell ref="A86:B86"/>
    <mergeCell ref="A87:B87"/>
    <mergeCell ref="A88:B88"/>
    <mergeCell ref="A89:B89"/>
    <mergeCell ref="A90:B90"/>
    <mergeCell ref="A91:B91"/>
    <mergeCell ref="A80:B80"/>
    <mergeCell ref="A81:B81"/>
    <mergeCell ref="A82:B82"/>
    <mergeCell ref="A83:B83"/>
    <mergeCell ref="A84:B84"/>
    <mergeCell ref="A85:B85"/>
    <mergeCell ref="A74:B74"/>
    <mergeCell ref="A75:B75"/>
    <mergeCell ref="A76:B76"/>
    <mergeCell ref="A77:B77"/>
    <mergeCell ref="A78:B78"/>
    <mergeCell ref="A79:B79"/>
    <mergeCell ref="A68:B68"/>
    <mergeCell ref="A69:B69"/>
    <mergeCell ref="A70:B70"/>
    <mergeCell ref="A71:B71"/>
    <mergeCell ref="A72:B72"/>
    <mergeCell ref="A73:B73"/>
    <mergeCell ref="A62:B62"/>
    <mergeCell ref="A63:B63"/>
    <mergeCell ref="A64:B64"/>
    <mergeCell ref="A65:B65"/>
    <mergeCell ref="A66:B66"/>
    <mergeCell ref="A67:B67"/>
    <mergeCell ref="A56:B56"/>
    <mergeCell ref="A57:B57"/>
    <mergeCell ref="A58:B58"/>
    <mergeCell ref="A59:B59"/>
    <mergeCell ref="A60:B60"/>
    <mergeCell ref="A61:B61"/>
    <mergeCell ref="A50:B50"/>
    <mergeCell ref="A51:B51"/>
    <mergeCell ref="A52:B52"/>
    <mergeCell ref="A53:B53"/>
    <mergeCell ref="A54:B54"/>
    <mergeCell ref="A55:B55"/>
    <mergeCell ref="A44:B44"/>
    <mergeCell ref="A45:B45"/>
    <mergeCell ref="A46:B46"/>
    <mergeCell ref="A47:B47"/>
    <mergeCell ref="A48:B48"/>
    <mergeCell ref="A49:B49"/>
    <mergeCell ref="A38:B38"/>
    <mergeCell ref="A39:B39"/>
    <mergeCell ref="A40:B40"/>
    <mergeCell ref="A41:B41"/>
    <mergeCell ref="A42:B42"/>
    <mergeCell ref="A43:B43"/>
    <mergeCell ref="A32:B32"/>
    <mergeCell ref="A33:B33"/>
    <mergeCell ref="A34:B34"/>
    <mergeCell ref="A35:B35"/>
    <mergeCell ref="A36:B36"/>
    <mergeCell ref="A37:B37"/>
    <mergeCell ref="A26:B26"/>
    <mergeCell ref="A27:B27"/>
    <mergeCell ref="A28:B28"/>
    <mergeCell ref="A29:B29"/>
    <mergeCell ref="A30:B30"/>
    <mergeCell ref="A31:B31"/>
    <mergeCell ref="A20:B20"/>
    <mergeCell ref="A21:B21"/>
    <mergeCell ref="A22:B22"/>
    <mergeCell ref="A23:B23"/>
    <mergeCell ref="A24:B24"/>
    <mergeCell ref="A25:B25"/>
    <mergeCell ref="A14:B14"/>
    <mergeCell ref="A15:B15"/>
    <mergeCell ref="A16:B16"/>
    <mergeCell ref="A17:B17"/>
    <mergeCell ref="A18:B18"/>
    <mergeCell ref="A19:B19"/>
    <mergeCell ref="A8:B8"/>
    <mergeCell ref="A9:B9"/>
    <mergeCell ref="A10:B10"/>
    <mergeCell ref="A11:B11"/>
    <mergeCell ref="A12:B12"/>
    <mergeCell ref="A13:B13"/>
    <mergeCell ref="A4:B4"/>
    <mergeCell ref="G1:H1"/>
    <mergeCell ref="G2:H2"/>
    <mergeCell ref="A5:B5"/>
    <mergeCell ref="A6:B6"/>
    <mergeCell ref="A7:B7"/>
  </mergeCells>
  <printOptions/>
  <pageMargins left="0.4330708661417323" right="0.4330708661417323" top="0.1968503937007874" bottom="0.2362204724409449" header="0.2755905511811024" footer="0"/>
  <pageSetup horizontalDpi="600" verticalDpi="600" orientation="portrait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FINANCIAL CLOSING PRICES</dc:title>
  <dc:subject/>
  <dc:creator>ANTHONY</dc:creator>
  <cp:keywords/>
  <dc:description/>
  <cp:lastModifiedBy>Francois De Kock</cp:lastModifiedBy>
  <cp:lastPrinted>2008-12-04T15:24:37Z</cp:lastPrinted>
  <dcterms:created xsi:type="dcterms:W3CDTF">1997-08-29T10:04:45Z</dcterms:created>
  <dcterms:modified xsi:type="dcterms:W3CDTF">2016-02-22T15:44:21Z</dcterms:modified>
  <cp:category/>
  <cp:version/>
  <cp:contentType/>
  <cp:contentStatus/>
</cp:coreProperties>
</file>