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'Jerry'!$A$1:$H$513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<sst xmlns="http://schemas.openxmlformats.org/spreadsheetml/2006/main" count="123" uniqueCount="123">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</sst>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tabSelected="1" zoomScaleSheetLayoutView="75" zoomScalePageLayoutView="0" workbookViewId="0" topLeftCell="A1">
      <selection activeCell="L14" sqref="L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42975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ROUND(2.535,5)</f>
        <v>2.535</v>
      </c>
      <c r="D6" s="24">
        <f>F6</f>
        <v>2.535</v>
      </c>
      <c r="E6" s="24">
        <f>F6</f>
        <v>2.535</v>
      </c>
      <c r="F6" s="24">
        <f>ROUND(2.535,5)</f>
        <v>2.535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ROUND(2.46,5)</f>
        <v>2.46</v>
      </c>
      <c r="D8" s="24">
        <f>F8</f>
        <v>2.46</v>
      </c>
      <c r="E8" s="24">
        <f>F8</f>
        <v>2.46</v>
      </c>
      <c r="F8" s="24">
        <f>ROUND(2.46,5)</f>
        <v>2.46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ROUND(2.56,5)</f>
        <v>2.56</v>
      </c>
      <c r="D10" s="24">
        <f>F10</f>
        <v>2.56</v>
      </c>
      <c r="E10" s="24">
        <f>F10</f>
        <v>2.56</v>
      </c>
      <c r="F10" s="24">
        <f>ROUND(2.56,5)</f>
        <v>2.56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ROUND(3.17,5)</f>
        <v>3.17</v>
      </c>
      <c r="D12" s="24">
        <f>F12</f>
        <v>3.17</v>
      </c>
      <c r="E12" s="24">
        <f>F12</f>
        <v>3.17</v>
      </c>
      <c r="F12" s="24">
        <f>ROUND(3.17,5)</f>
        <v>3.17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ROUND(10.765,5)</f>
        <v>10.765</v>
      </c>
      <c r="D14" s="24">
        <f>F14</f>
        <v>10.765</v>
      </c>
      <c r="E14" s="24">
        <f>F14</f>
        <v>10.765</v>
      </c>
      <c r="F14" s="24">
        <f>ROUND(10.765,5)</f>
        <v>10.765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ROUND(7.86,5)</f>
        <v>7.86</v>
      </c>
      <c r="D16" s="24">
        <f>F16</f>
        <v>7.86</v>
      </c>
      <c r="E16" s="24">
        <f>F16</f>
        <v>7.86</v>
      </c>
      <c r="F16" s="24">
        <f>ROUND(7.86,5)</f>
        <v>7.86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ROUND(8.57,3)</f>
        <v>8.57</v>
      </c>
      <c r="D18" s="29">
        <f>F18</f>
        <v>8.57</v>
      </c>
      <c r="E18" s="29">
        <f>F18</f>
        <v>8.57</v>
      </c>
      <c r="F18" s="29">
        <f>ROUND(8.57,3)</f>
        <v>8.57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ROUND(2.4,3)</f>
        <v>2.4</v>
      </c>
      <c r="D20" s="29">
        <f>F20</f>
        <v>2.4</v>
      </c>
      <c r="E20" s="29">
        <f>F20</f>
        <v>2.4</v>
      </c>
      <c r="F20" s="29">
        <f>ROUND(2.4,3)</f>
        <v>2.4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ROUND(2.53,3)</f>
        <v>2.53</v>
      </c>
      <c r="D22" s="29">
        <f>F22</f>
        <v>2.53</v>
      </c>
      <c r="E22" s="29">
        <f>F22</f>
        <v>2.53</v>
      </c>
      <c r="F22" s="29">
        <f>ROUND(2.53,3)</f>
        <v>2.53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ROUND(5.35,3)</f>
        <v>5.35</v>
      </c>
      <c r="D24" s="29">
        <f>F24</f>
        <v>5.35</v>
      </c>
      <c r="E24" s="29">
        <f>F24</f>
        <v>5.35</v>
      </c>
      <c r="F24" s="29">
        <f>ROUND(5.35,3)</f>
        <v>5.35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ROUND(6.97,3)</f>
        <v>6.97</v>
      </c>
      <c r="D26" s="29">
        <f>F26</f>
        <v>6.97</v>
      </c>
      <c r="E26" s="29">
        <f>F26</f>
        <v>6.97</v>
      </c>
      <c r="F26" s="29">
        <f>ROUND(6.97,3)</f>
        <v>6.97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ROUND(7.305,3)</f>
        <v>7.305</v>
      </c>
      <c r="D28" s="29">
        <f>F28</f>
        <v>7.305</v>
      </c>
      <c r="E28" s="29">
        <f>F28</f>
        <v>7.305</v>
      </c>
      <c r="F28" s="29">
        <f>ROUND(7.305,3)</f>
        <v>7.305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ROUND(7.46,3)</f>
        <v>7.46</v>
      </c>
      <c r="D30" s="29">
        <f>F30</f>
        <v>7.46</v>
      </c>
      <c r="E30" s="29">
        <f>F30</f>
        <v>7.46</v>
      </c>
      <c r="F30" s="29">
        <f>ROUND(7.46,3)</f>
        <v>7.46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ROUND(9.56,3)</f>
        <v>9.56</v>
      </c>
      <c r="D32" s="29">
        <f>F32</f>
        <v>9.56</v>
      </c>
      <c r="E32" s="29">
        <f>F32</f>
        <v>9.56</v>
      </c>
      <c r="F32" s="29">
        <f>ROUND(9.56,3)</f>
        <v>9.56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ROUND(2.45,3)</f>
        <v>2.45</v>
      </c>
      <c r="D34" s="29">
        <f>F34</f>
        <v>2.45</v>
      </c>
      <c r="E34" s="29">
        <f>F34</f>
        <v>2.45</v>
      </c>
      <c r="F34" s="29">
        <f>ROUND(2.45,3)</f>
        <v>2.45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ROUND(2.38,3)</f>
        <v>2.38</v>
      </c>
      <c r="D36" s="29">
        <f>F36</f>
        <v>2.38</v>
      </c>
      <c r="E36" s="29">
        <f>F36</f>
        <v>2.38</v>
      </c>
      <c r="F36" s="29">
        <f>ROUND(2.38,3)</f>
        <v>2.38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ROUND(9.22,3)</f>
        <v>9.22</v>
      </c>
      <c r="D38" s="29">
        <f>F38</f>
        <v>9.22</v>
      </c>
      <c r="E38" s="29">
        <f>F38</f>
        <v>9.22</v>
      </c>
      <c r="F38" s="29">
        <f>ROUND(9.22,3)</f>
        <v>9.22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ROUND(2.535,5)</f>
        <v>2.535</v>
      </c>
      <c r="D40" s="24">
        <f>F40</f>
        <v>129.51138</v>
      </c>
      <c r="E40" s="24">
        <f>F40</f>
        <v>129.51138</v>
      </c>
      <c r="F40" s="24">
        <f>ROUND(129.51138,5)</f>
        <v>129.51138</v>
      </c>
      <c r="G40" s="25"/>
      <c r="H40" s="26"/>
    </row>
    <row r="41" spans="1:8" ht="12.75" customHeight="1">
      <c r="A41" s="23">
        <v>43132</v>
      </c>
      <c r="B41" s="23"/>
      <c r="C41" s="24">
        <f>ROUND(2.535,5)</f>
        <v>2.535</v>
      </c>
      <c r="D41" s="24">
        <f>F41</f>
        <v>130.58526</v>
      </c>
      <c r="E41" s="24">
        <f>F41</f>
        <v>130.58526</v>
      </c>
      <c r="F41" s="24">
        <f>ROUND(130.58526,5)</f>
        <v>130.58526</v>
      </c>
      <c r="G41" s="25"/>
      <c r="H41" s="26"/>
    </row>
    <row r="42" spans="1:8" ht="12.75" customHeight="1">
      <c r="A42" s="23">
        <v>43223</v>
      </c>
      <c r="B42" s="23"/>
      <c r="C42" s="24">
        <f>ROUND(2.535,5)</f>
        <v>2.535</v>
      </c>
      <c r="D42" s="24">
        <f>F42</f>
        <v>133.08211</v>
      </c>
      <c r="E42" s="24">
        <f>F42</f>
        <v>133.08211</v>
      </c>
      <c r="F42" s="24">
        <f>ROUND(133.08211,5)</f>
        <v>133.08211</v>
      </c>
      <c r="G42" s="25"/>
      <c r="H42" s="26"/>
    </row>
    <row r="43" spans="1:8" ht="12.75" customHeight="1">
      <c r="A43" s="23">
        <v>43314</v>
      </c>
      <c r="B43" s="23"/>
      <c r="C43" s="24">
        <f>ROUND(2.535,5)</f>
        <v>2.535</v>
      </c>
      <c r="D43" s="24">
        <f>F43</f>
        <v>135.60387</v>
      </c>
      <c r="E43" s="24">
        <f>F43</f>
        <v>135.60387</v>
      </c>
      <c r="F43" s="24">
        <f>ROUND(135.60387,5)</f>
        <v>135.60387</v>
      </c>
      <c r="G43" s="25"/>
      <c r="H43" s="26"/>
    </row>
    <row r="44" spans="1:8" ht="12.75" customHeight="1">
      <c r="A44" s="23">
        <v>43405</v>
      </c>
      <c r="B44" s="23"/>
      <c r="C44" s="24">
        <f>ROUND(2.535,5)</f>
        <v>2.535</v>
      </c>
      <c r="D44" s="24">
        <f>F44</f>
        <v>138.07479</v>
      </c>
      <c r="E44" s="24">
        <f>F44</f>
        <v>138.07479</v>
      </c>
      <c r="F44" s="24">
        <f>ROUND(138.07479,5)</f>
        <v>138.07479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ROUND(99.80739,5)</f>
        <v>99.80739</v>
      </c>
      <c r="D46" s="24">
        <f>F46</f>
        <v>100.18234</v>
      </c>
      <c r="E46" s="24">
        <f>F46</f>
        <v>100.18234</v>
      </c>
      <c r="F46" s="24">
        <f>ROUND(100.18234,5)</f>
        <v>100.18234</v>
      </c>
      <c r="G46" s="25"/>
      <c r="H46" s="26"/>
    </row>
    <row r="47" spans="1:8" ht="12.75" customHeight="1">
      <c r="A47" s="23">
        <v>43132</v>
      </c>
      <c r="B47" s="23"/>
      <c r="C47" s="24">
        <f>ROUND(99.80739,5)</f>
        <v>99.80739</v>
      </c>
      <c r="D47" s="24">
        <f>F47</f>
        <v>102.0589</v>
      </c>
      <c r="E47" s="24">
        <f>F47</f>
        <v>102.0589</v>
      </c>
      <c r="F47" s="24">
        <f>ROUND(102.0589,5)</f>
        <v>102.0589</v>
      </c>
      <c r="G47" s="25"/>
      <c r="H47" s="26"/>
    </row>
    <row r="48" spans="1:8" ht="12.75" customHeight="1">
      <c r="A48" s="23">
        <v>43223</v>
      </c>
      <c r="B48" s="23"/>
      <c r="C48" s="24">
        <f>ROUND(99.80739,5)</f>
        <v>99.80739</v>
      </c>
      <c r="D48" s="24">
        <f>F48</f>
        <v>102.98231</v>
      </c>
      <c r="E48" s="24">
        <f>F48</f>
        <v>102.98231</v>
      </c>
      <c r="F48" s="24">
        <f>ROUND(102.98231,5)</f>
        <v>102.98231</v>
      </c>
      <c r="G48" s="25"/>
      <c r="H48" s="26"/>
    </row>
    <row r="49" spans="1:8" ht="12.75" customHeight="1">
      <c r="A49" s="23">
        <v>43314</v>
      </c>
      <c r="B49" s="23"/>
      <c r="C49" s="24">
        <f>ROUND(99.80739,5)</f>
        <v>99.80739</v>
      </c>
      <c r="D49" s="24">
        <f>F49</f>
        <v>104.93358</v>
      </c>
      <c r="E49" s="24">
        <f>F49</f>
        <v>104.93358</v>
      </c>
      <c r="F49" s="24">
        <f>ROUND(104.93358,5)</f>
        <v>104.93358</v>
      </c>
      <c r="G49" s="25"/>
      <c r="H49" s="26"/>
    </row>
    <row r="50" spans="1:8" ht="12.75" customHeight="1">
      <c r="A50" s="23">
        <v>43405</v>
      </c>
      <c r="B50" s="23"/>
      <c r="C50" s="24">
        <f>ROUND(99.80739,5)</f>
        <v>99.80739</v>
      </c>
      <c r="D50" s="24">
        <f>F50</f>
        <v>106.84535</v>
      </c>
      <c r="E50" s="24">
        <f>F50</f>
        <v>106.84535</v>
      </c>
      <c r="F50" s="24">
        <f>ROUND(106.84535,5)</f>
        <v>106.84535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ROUND(9.11,5)</f>
        <v>9.11</v>
      </c>
      <c r="D52" s="24">
        <f>F52</f>
        <v>9.15011</v>
      </c>
      <c r="E52" s="24">
        <f>F52</f>
        <v>9.15011</v>
      </c>
      <c r="F52" s="24">
        <f>ROUND(9.15011,5)</f>
        <v>9.15011</v>
      </c>
      <c r="G52" s="25"/>
      <c r="H52" s="26"/>
    </row>
    <row r="53" spans="1:8" ht="12.75" customHeight="1">
      <c r="A53" s="23">
        <v>43132</v>
      </c>
      <c r="B53" s="23"/>
      <c r="C53" s="24">
        <f>ROUND(9.11,5)</f>
        <v>9.11</v>
      </c>
      <c r="D53" s="24">
        <f>F53</f>
        <v>9.20564</v>
      </c>
      <c r="E53" s="24">
        <f>F53</f>
        <v>9.20564</v>
      </c>
      <c r="F53" s="24">
        <f>ROUND(9.20564,5)</f>
        <v>9.20564</v>
      </c>
      <c r="G53" s="25"/>
      <c r="H53" s="26"/>
    </row>
    <row r="54" spans="1:8" ht="12.75" customHeight="1">
      <c r="A54" s="23">
        <v>43223</v>
      </c>
      <c r="B54" s="23"/>
      <c r="C54" s="24">
        <f>ROUND(9.11,5)</f>
        <v>9.11</v>
      </c>
      <c r="D54" s="24">
        <f>F54</f>
        <v>9.26342</v>
      </c>
      <c r="E54" s="24">
        <f>F54</f>
        <v>9.26342</v>
      </c>
      <c r="F54" s="24">
        <f>ROUND(9.26342,5)</f>
        <v>9.26342</v>
      </c>
      <c r="G54" s="25"/>
      <c r="H54" s="26"/>
    </row>
    <row r="55" spans="1:8" ht="12.75" customHeight="1">
      <c r="A55" s="23">
        <v>43314</v>
      </c>
      <c r="B55" s="23"/>
      <c r="C55" s="24">
        <f>ROUND(9.11,5)</f>
        <v>9.11</v>
      </c>
      <c r="D55" s="24">
        <f>F55</f>
        <v>9.32269</v>
      </c>
      <c r="E55" s="24">
        <f>F55</f>
        <v>9.32269</v>
      </c>
      <c r="F55" s="24">
        <f>ROUND(9.32269,5)</f>
        <v>9.32269</v>
      </c>
      <c r="G55" s="25"/>
      <c r="H55" s="26"/>
    </row>
    <row r="56" spans="1:8" ht="12.75" customHeight="1">
      <c r="A56" s="23">
        <v>43405</v>
      </c>
      <c r="B56" s="23"/>
      <c r="C56" s="24">
        <f>ROUND(9.11,5)</f>
        <v>9.11</v>
      </c>
      <c r="D56" s="24">
        <f>F56</f>
        <v>9.38439</v>
      </c>
      <c r="E56" s="24">
        <f>F56</f>
        <v>9.38439</v>
      </c>
      <c r="F56" s="24">
        <f>ROUND(9.38439,5)</f>
        <v>9.38439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ROUND(9.36,5)</f>
        <v>9.36</v>
      </c>
      <c r="D58" s="24">
        <f>F58</f>
        <v>9.40514</v>
      </c>
      <c r="E58" s="24">
        <f>F58</f>
        <v>9.40514</v>
      </c>
      <c r="F58" s="24">
        <f>ROUND(9.40514,5)</f>
        <v>9.40514</v>
      </c>
      <c r="G58" s="25"/>
      <c r="H58" s="26"/>
    </row>
    <row r="59" spans="1:8" ht="12.75" customHeight="1">
      <c r="A59" s="23">
        <v>43132</v>
      </c>
      <c r="B59" s="23"/>
      <c r="C59" s="24">
        <f>ROUND(9.36,5)</f>
        <v>9.36</v>
      </c>
      <c r="D59" s="24">
        <f>F59</f>
        <v>9.46705</v>
      </c>
      <c r="E59" s="24">
        <f>F59</f>
        <v>9.46705</v>
      </c>
      <c r="F59" s="24">
        <f>ROUND(9.46705,5)</f>
        <v>9.46705</v>
      </c>
      <c r="G59" s="25"/>
      <c r="H59" s="26"/>
    </row>
    <row r="60" spans="1:8" ht="12.75" customHeight="1">
      <c r="A60" s="23">
        <v>43223</v>
      </c>
      <c r="B60" s="23"/>
      <c r="C60" s="24">
        <f>ROUND(9.36,5)</f>
        <v>9.36</v>
      </c>
      <c r="D60" s="24">
        <f>F60</f>
        <v>9.52724</v>
      </c>
      <c r="E60" s="24">
        <f>F60</f>
        <v>9.52724</v>
      </c>
      <c r="F60" s="24">
        <f>ROUND(9.52724,5)</f>
        <v>9.52724</v>
      </c>
      <c r="G60" s="25"/>
      <c r="H60" s="26"/>
    </row>
    <row r="61" spans="1:8" ht="12.75" customHeight="1">
      <c r="A61" s="23">
        <v>43314</v>
      </c>
      <c r="B61" s="23"/>
      <c r="C61" s="24">
        <f>ROUND(9.36,5)</f>
        <v>9.36</v>
      </c>
      <c r="D61" s="24">
        <f>F61</f>
        <v>9.5869</v>
      </c>
      <c r="E61" s="24">
        <f>F61</f>
        <v>9.5869</v>
      </c>
      <c r="F61" s="24">
        <f>ROUND(9.5869,5)</f>
        <v>9.5869</v>
      </c>
      <c r="G61" s="25"/>
      <c r="H61" s="26"/>
    </row>
    <row r="62" spans="1:8" ht="12.75" customHeight="1">
      <c r="A62" s="23">
        <v>43405</v>
      </c>
      <c r="B62" s="23"/>
      <c r="C62" s="24">
        <f>ROUND(9.36,5)</f>
        <v>9.36</v>
      </c>
      <c r="D62" s="24">
        <f>F62</f>
        <v>9.65525</v>
      </c>
      <c r="E62" s="24">
        <f>F62</f>
        <v>9.65525</v>
      </c>
      <c r="F62" s="24">
        <f>ROUND(9.65525,5)</f>
        <v>9.65525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ROUND(102.94012,5)</f>
        <v>102.94012</v>
      </c>
      <c r="D64" s="24">
        <f>F64</f>
        <v>104.35978</v>
      </c>
      <c r="E64" s="24">
        <f>F64</f>
        <v>104.35978</v>
      </c>
      <c r="F64" s="24">
        <f>ROUND(104.35978,5)</f>
        <v>104.35978</v>
      </c>
      <c r="G64" s="25"/>
      <c r="H64" s="26"/>
    </row>
    <row r="65" spans="1:8" ht="12.75" customHeight="1">
      <c r="A65" s="23">
        <v>43132</v>
      </c>
      <c r="B65" s="23"/>
      <c r="C65" s="24">
        <f>ROUND(102.94012,5)</f>
        <v>102.94012</v>
      </c>
      <c r="D65" s="24">
        <f>F65</f>
        <v>106.31454</v>
      </c>
      <c r="E65" s="24">
        <f>F65</f>
        <v>106.31454</v>
      </c>
      <c r="F65" s="24">
        <f>ROUND(106.31454,5)</f>
        <v>106.31454</v>
      </c>
      <c r="G65" s="25"/>
      <c r="H65" s="26"/>
    </row>
    <row r="66" spans="1:8" ht="12.75" customHeight="1">
      <c r="A66" s="23">
        <v>43223</v>
      </c>
      <c r="B66" s="23"/>
      <c r="C66" s="24">
        <f>ROUND(102.94012,5)</f>
        <v>102.94012</v>
      </c>
      <c r="D66" s="24">
        <f>F66</f>
        <v>107.24889</v>
      </c>
      <c r="E66" s="24">
        <f>F66</f>
        <v>107.24889</v>
      </c>
      <c r="F66" s="24">
        <f>ROUND(107.24889,5)</f>
        <v>107.24889</v>
      </c>
      <c r="G66" s="25"/>
      <c r="H66" s="26"/>
    </row>
    <row r="67" spans="1:8" ht="12.75" customHeight="1">
      <c r="A67" s="23">
        <v>43314</v>
      </c>
      <c r="B67" s="23"/>
      <c r="C67" s="24">
        <f>ROUND(102.94012,5)</f>
        <v>102.94012</v>
      </c>
      <c r="D67" s="24">
        <f>F67</f>
        <v>109.28109</v>
      </c>
      <c r="E67" s="24">
        <f>F67</f>
        <v>109.28109</v>
      </c>
      <c r="F67" s="24">
        <f>ROUND(109.28109,5)</f>
        <v>109.28109</v>
      </c>
      <c r="G67" s="25"/>
      <c r="H67" s="26"/>
    </row>
    <row r="68" spans="1:8" ht="12.75" customHeight="1">
      <c r="A68" s="23">
        <v>43405</v>
      </c>
      <c r="B68" s="23"/>
      <c r="C68" s="24">
        <f>ROUND(102.94012,5)</f>
        <v>102.94012</v>
      </c>
      <c r="D68" s="24">
        <f>F68</f>
        <v>111.27226</v>
      </c>
      <c r="E68" s="24">
        <f>F68</f>
        <v>111.27226</v>
      </c>
      <c r="F68" s="24">
        <f>ROUND(111.27226,5)</f>
        <v>111.27226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ROUND(9.705,5)</f>
        <v>9.705</v>
      </c>
      <c r="D70" s="24">
        <f>F70</f>
        <v>9.75114</v>
      </c>
      <c r="E70" s="24">
        <f>F70</f>
        <v>9.75114</v>
      </c>
      <c r="F70" s="24">
        <f>ROUND(9.75114,5)</f>
        <v>9.75114</v>
      </c>
      <c r="G70" s="25"/>
      <c r="H70" s="26"/>
    </row>
    <row r="71" spans="1:8" ht="12.75" customHeight="1">
      <c r="A71" s="23">
        <v>43132</v>
      </c>
      <c r="B71" s="23"/>
      <c r="C71" s="24">
        <f>ROUND(9.705,5)</f>
        <v>9.705</v>
      </c>
      <c r="D71" s="24">
        <f>F71</f>
        <v>9.81491</v>
      </c>
      <c r="E71" s="24">
        <f>F71</f>
        <v>9.81491</v>
      </c>
      <c r="F71" s="24">
        <f>ROUND(9.81491,5)</f>
        <v>9.81491</v>
      </c>
      <c r="G71" s="25"/>
      <c r="H71" s="26"/>
    </row>
    <row r="72" spans="1:8" ht="12.75" customHeight="1">
      <c r="A72" s="23">
        <v>43223</v>
      </c>
      <c r="B72" s="23"/>
      <c r="C72" s="24">
        <f>ROUND(9.705,5)</f>
        <v>9.705</v>
      </c>
      <c r="D72" s="24">
        <f>F72</f>
        <v>9.8805</v>
      </c>
      <c r="E72" s="24">
        <f>F72</f>
        <v>9.8805</v>
      </c>
      <c r="F72" s="24">
        <f>ROUND(9.8805,5)</f>
        <v>9.8805</v>
      </c>
      <c r="G72" s="25"/>
      <c r="H72" s="26"/>
    </row>
    <row r="73" spans="1:8" ht="12.75" customHeight="1">
      <c r="A73" s="23">
        <v>43314</v>
      </c>
      <c r="B73" s="23"/>
      <c r="C73" s="24">
        <f>ROUND(9.705,5)</f>
        <v>9.705</v>
      </c>
      <c r="D73" s="24">
        <f>F73</f>
        <v>9.94782</v>
      </c>
      <c r="E73" s="24">
        <f>F73</f>
        <v>9.94782</v>
      </c>
      <c r="F73" s="24">
        <f>ROUND(9.94782,5)</f>
        <v>9.94782</v>
      </c>
      <c r="G73" s="25"/>
      <c r="H73" s="26"/>
    </row>
    <row r="74" spans="1:8" ht="12.75" customHeight="1">
      <c r="A74" s="23">
        <v>43405</v>
      </c>
      <c r="B74" s="23"/>
      <c r="C74" s="24">
        <f>ROUND(9.705,5)</f>
        <v>9.705</v>
      </c>
      <c r="D74" s="24">
        <f>F74</f>
        <v>10.01654</v>
      </c>
      <c r="E74" s="24">
        <f>F74</f>
        <v>10.01654</v>
      </c>
      <c r="F74" s="24">
        <f>ROUND(10.01654,5)</f>
        <v>10.01654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ROUND(2.46,5)</f>
        <v>2.46</v>
      </c>
      <c r="D76" s="24">
        <f>F76</f>
        <v>129.86357</v>
      </c>
      <c r="E76" s="24">
        <f>F76</f>
        <v>129.86357</v>
      </c>
      <c r="F76" s="24">
        <f>ROUND(129.86357,5)</f>
        <v>129.86357</v>
      </c>
      <c r="G76" s="25"/>
      <c r="H76" s="26"/>
    </row>
    <row r="77" spans="1:8" ht="12.75" customHeight="1">
      <c r="A77" s="23">
        <v>43132</v>
      </c>
      <c r="B77" s="23"/>
      <c r="C77" s="24">
        <f>ROUND(2.46,5)</f>
        <v>2.46</v>
      </c>
      <c r="D77" s="24">
        <f>F77</f>
        <v>130.77505</v>
      </c>
      <c r="E77" s="24">
        <f>F77</f>
        <v>130.77505</v>
      </c>
      <c r="F77" s="24">
        <f>ROUND(130.77505,5)</f>
        <v>130.77505</v>
      </c>
      <c r="G77" s="25"/>
      <c r="H77" s="26"/>
    </row>
    <row r="78" spans="1:8" ht="12.75" customHeight="1">
      <c r="A78" s="23">
        <v>43223</v>
      </c>
      <c r="B78" s="23"/>
      <c r="C78" s="24">
        <f>ROUND(2.46,5)</f>
        <v>2.46</v>
      </c>
      <c r="D78" s="24">
        <f>F78</f>
        <v>133.27548</v>
      </c>
      <c r="E78" s="24">
        <f>F78</f>
        <v>133.27548</v>
      </c>
      <c r="F78" s="24">
        <f>ROUND(133.27548,5)</f>
        <v>133.27548</v>
      </c>
      <c r="G78" s="25"/>
      <c r="H78" s="26"/>
    </row>
    <row r="79" spans="1:8" ht="12.75" customHeight="1">
      <c r="A79" s="23">
        <v>43314</v>
      </c>
      <c r="B79" s="23"/>
      <c r="C79" s="24">
        <f>ROUND(2.46,5)</f>
        <v>2.46</v>
      </c>
      <c r="D79" s="24">
        <f>F79</f>
        <v>135.80086</v>
      </c>
      <c r="E79" s="24">
        <f>F79</f>
        <v>135.80086</v>
      </c>
      <c r="F79" s="24">
        <f>ROUND(135.80086,5)</f>
        <v>135.80086</v>
      </c>
      <c r="G79" s="25"/>
      <c r="H79" s="26"/>
    </row>
    <row r="80" spans="1:8" ht="12.75" customHeight="1">
      <c r="A80" s="23">
        <v>43405</v>
      </c>
      <c r="B80" s="23"/>
      <c r="C80" s="24">
        <f>ROUND(2.46,5)</f>
        <v>2.46</v>
      </c>
      <c r="D80" s="24">
        <f>F80</f>
        <v>138.27528</v>
      </c>
      <c r="E80" s="24">
        <f>F80</f>
        <v>138.27528</v>
      </c>
      <c r="F80" s="24">
        <f>ROUND(138.27528,5)</f>
        <v>138.27528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ROUND(9.795,5)</f>
        <v>9.795</v>
      </c>
      <c r="D82" s="24">
        <f>F82</f>
        <v>9.84163</v>
      </c>
      <c r="E82" s="24">
        <f>F82</f>
        <v>9.84163</v>
      </c>
      <c r="F82" s="24">
        <f>ROUND(9.84163,5)</f>
        <v>9.84163</v>
      </c>
      <c r="G82" s="25"/>
      <c r="H82" s="26"/>
    </row>
    <row r="83" spans="1:8" ht="12.75" customHeight="1">
      <c r="A83" s="23">
        <v>43132</v>
      </c>
      <c r="B83" s="23"/>
      <c r="C83" s="24">
        <f>ROUND(9.795,5)</f>
        <v>9.795</v>
      </c>
      <c r="D83" s="24">
        <f>F83</f>
        <v>9.90606</v>
      </c>
      <c r="E83" s="24">
        <f>F83</f>
        <v>9.90606</v>
      </c>
      <c r="F83" s="24">
        <f>ROUND(9.90606,5)</f>
        <v>9.90606</v>
      </c>
      <c r="G83" s="25"/>
      <c r="H83" s="26"/>
    </row>
    <row r="84" spans="1:8" ht="12.75" customHeight="1">
      <c r="A84" s="23">
        <v>43223</v>
      </c>
      <c r="B84" s="23"/>
      <c r="C84" s="24">
        <f>ROUND(9.795,5)</f>
        <v>9.795</v>
      </c>
      <c r="D84" s="24">
        <f>F84</f>
        <v>9.9722</v>
      </c>
      <c r="E84" s="24">
        <f>F84</f>
        <v>9.9722</v>
      </c>
      <c r="F84" s="24">
        <f>ROUND(9.9722,5)</f>
        <v>9.9722</v>
      </c>
      <c r="G84" s="25"/>
      <c r="H84" s="26"/>
    </row>
    <row r="85" spans="1:8" ht="12.75" customHeight="1">
      <c r="A85" s="23">
        <v>43314</v>
      </c>
      <c r="B85" s="23"/>
      <c r="C85" s="24">
        <f>ROUND(9.795,5)</f>
        <v>9.795</v>
      </c>
      <c r="D85" s="24">
        <f>F85</f>
        <v>10.04009</v>
      </c>
      <c r="E85" s="24">
        <f>F85</f>
        <v>10.04009</v>
      </c>
      <c r="F85" s="24">
        <f>ROUND(10.04009,5)</f>
        <v>10.04009</v>
      </c>
      <c r="G85" s="25"/>
      <c r="H85" s="26"/>
    </row>
    <row r="86" spans="1:8" ht="12.75" customHeight="1">
      <c r="A86" s="23">
        <v>43405</v>
      </c>
      <c r="B86" s="23"/>
      <c r="C86" s="24">
        <f>ROUND(9.795,5)</f>
        <v>9.795</v>
      </c>
      <c r="D86" s="24">
        <f>F86</f>
        <v>10.10919</v>
      </c>
      <c r="E86" s="24">
        <f>F86</f>
        <v>10.10919</v>
      </c>
      <c r="F86" s="24">
        <f>ROUND(10.10919,5)</f>
        <v>10.10919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ROUND(9.81,5)</f>
        <v>9.81</v>
      </c>
      <c r="D88" s="24">
        <f>F88</f>
        <v>9.85496</v>
      </c>
      <c r="E88" s="24">
        <f>F88</f>
        <v>9.85496</v>
      </c>
      <c r="F88" s="24">
        <f>ROUND(9.85496,5)</f>
        <v>9.85496</v>
      </c>
      <c r="G88" s="25"/>
      <c r="H88" s="26"/>
    </row>
    <row r="89" spans="1:8" ht="12.75" customHeight="1">
      <c r="A89" s="23">
        <v>43132</v>
      </c>
      <c r="B89" s="23"/>
      <c r="C89" s="24">
        <f>ROUND(9.81,5)</f>
        <v>9.81</v>
      </c>
      <c r="D89" s="24">
        <f>F89</f>
        <v>9.917</v>
      </c>
      <c r="E89" s="24">
        <f>F89</f>
        <v>9.917</v>
      </c>
      <c r="F89" s="24">
        <f>ROUND(9.917,5)</f>
        <v>9.917</v>
      </c>
      <c r="G89" s="25"/>
      <c r="H89" s="26"/>
    </row>
    <row r="90" spans="1:8" ht="12.75" customHeight="1">
      <c r="A90" s="23">
        <v>43223</v>
      </c>
      <c r="B90" s="23"/>
      <c r="C90" s="24">
        <f>ROUND(9.81,5)</f>
        <v>9.81</v>
      </c>
      <c r="D90" s="24">
        <f>F90</f>
        <v>9.98056</v>
      </c>
      <c r="E90" s="24">
        <f>F90</f>
        <v>9.98056</v>
      </c>
      <c r="F90" s="24">
        <f>ROUND(9.98056,5)</f>
        <v>9.98056</v>
      </c>
      <c r="G90" s="25"/>
      <c r="H90" s="26"/>
    </row>
    <row r="91" spans="1:8" ht="12.75" customHeight="1">
      <c r="A91" s="23">
        <v>43314</v>
      </c>
      <c r="B91" s="23"/>
      <c r="C91" s="24">
        <f>ROUND(9.81,5)</f>
        <v>9.81</v>
      </c>
      <c r="D91" s="24">
        <f>F91</f>
        <v>10.04568</v>
      </c>
      <c r="E91" s="24">
        <f>F91</f>
        <v>10.04568</v>
      </c>
      <c r="F91" s="24">
        <f>ROUND(10.04568,5)</f>
        <v>10.04568</v>
      </c>
      <c r="G91" s="25"/>
      <c r="H91" s="26"/>
    </row>
    <row r="92" spans="1:8" ht="12.75" customHeight="1">
      <c r="A92" s="23">
        <v>43405</v>
      </c>
      <c r="B92" s="23"/>
      <c r="C92" s="24">
        <f>ROUND(9.81,5)</f>
        <v>9.81</v>
      </c>
      <c r="D92" s="24">
        <f>F92</f>
        <v>10.11183</v>
      </c>
      <c r="E92" s="24">
        <f>F92</f>
        <v>10.11183</v>
      </c>
      <c r="F92" s="24">
        <f>ROUND(10.11183,5)</f>
        <v>10.11183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ROUND(123.72591,5)</f>
        <v>123.72591</v>
      </c>
      <c r="D94" s="24">
        <f>F94</f>
        <v>123.85853</v>
      </c>
      <c r="E94" s="24">
        <f>F94</f>
        <v>123.85853</v>
      </c>
      <c r="F94" s="24">
        <f>ROUND(123.85853,5)</f>
        <v>123.85853</v>
      </c>
      <c r="G94" s="25"/>
      <c r="H94" s="26"/>
    </row>
    <row r="95" spans="1:8" ht="12.75" customHeight="1">
      <c r="A95" s="23">
        <v>43132</v>
      </c>
      <c r="B95" s="23"/>
      <c r="C95" s="24">
        <f>ROUND(123.72591,5)</f>
        <v>123.72591</v>
      </c>
      <c r="D95" s="24">
        <f>F95</f>
        <v>126.17855</v>
      </c>
      <c r="E95" s="24">
        <f>F95</f>
        <v>126.17855</v>
      </c>
      <c r="F95" s="24">
        <f>ROUND(126.17855,5)</f>
        <v>126.17855</v>
      </c>
      <c r="G95" s="25"/>
      <c r="H95" s="26"/>
    </row>
    <row r="96" spans="1:8" ht="12.75" customHeight="1">
      <c r="A96" s="23">
        <v>43223</v>
      </c>
      <c r="B96" s="23"/>
      <c r="C96" s="24">
        <f>ROUND(123.72591,5)</f>
        <v>123.72591</v>
      </c>
      <c r="D96" s="24">
        <f>F96</f>
        <v>126.97589</v>
      </c>
      <c r="E96" s="24">
        <f>F96</f>
        <v>126.97589</v>
      </c>
      <c r="F96" s="24">
        <f>ROUND(126.97589,5)</f>
        <v>126.97589</v>
      </c>
      <c r="G96" s="25"/>
      <c r="H96" s="26"/>
    </row>
    <row r="97" spans="1:8" ht="12.75" customHeight="1">
      <c r="A97" s="23">
        <v>43314</v>
      </c>
      <c r="B97" s="23"/>
      <c r="C97" s="24">
        <f>ROUND(123.72591,5)</f>
        <v>123.72591</v>
      </c>
      <c r="D97" s="24">
        <f>F97</f>
        <v>129.38165</v>
      </c>
      <c r="E97" s="24">
        <f>F97</f>
        <v>129.38165</v>
      </c>
      <c r="F97" s="24">
        <f>ROUND(129.38165,5)</f>
        <v>129.38165</v>
      </c>
      <c r="G97" s="25"/>
      <c r="H97" s="26"/>
    </row>
    <row r="98" spans="1:8" ht="12.75" customHeight="1">
      <c r="A98" s="23">
        <v>43405</v>
      </c>
      <c r="B98" s="23"/>
      <c r="C98" s="24">
        <f>ROUND(123.72591,5)</f>
        <v>123.72591</v>
      </c>
      <c r="D98" s="24">
        <f>F98</f>
        <v>131.73854</v>
      </c>
      <c r="E98" s="24">
        <f>F98</f>
        <v>131.73854</v>
      </c>
      <c r="F98" s="24">
        <f>ROUND(131.73854,5)</f>
        <v>131.73854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ROUND(2.56,5)</f>
        <v>2.56</v>
      </c>
      <c r="D100" s="24">
        <f>F100</f>
        <v>132.75273</v>
      </c>
      <c r="E100" s="24">
        <f>F100</f>
        <v>132.75273</v>
      </c>
      <c r="F100" s="24">
        <f>ROUND(132.75273,5)</f>
        <v>132.75273</v>
      </c>
      <c r="G100" s="25"/>
      <c r="H100" s="26"/>
    </row>
    <row r="101" spans="1:8" ht="12.75" customHeight="1">
      <c r="A101" s="23">
        <v>43132</v>
      </c>
      <c r="B101" s="23"/>
      <c r="C101" s="24">
        <f>ROUND(2.56,5)</f>
        <v>2.56</v>
      </c>
      <c r="D101" s="24">
        <f>F101</f>
        <v>133.54828</v>
      </c>
      <c r="E101" s="24">
        <f>F101</f>
        <v>133.54828</v>
      </c>
      <c r="F101" s="24">
        <f>ROUND(133.54828,5)</f>
        <v>133.54828</v>
      </c>
      <c r="G101" s="25"/>
      <c r="H101" s="26"/>
    </row>
    <row r="102" spans="1:8" ht="12.75" customHeight="1">
      <c r="A102" s="23">
        <v>43223</v>
      </c>
      <c r="B102" s="23"/>
      <c r="C102" s="24">
        <f>ROUND(2.56,5)</f>
        <v>2.56</v>
      </c>
      <c r="D102" s="24">
        <f>F102</f>
        <v>136.10171</v>
      </c>
      <c r="E102" s="24">
        <f>F102</f>
        <v>136.10171</v>
      </c>
      <c r="F102" s="24">
        <f>ROUND(136.10171,5)</f>
        <v>136.10171</v>
      </c>
      <c r="G102" s="25"/>
      <c r="H102" s="26"/>
    </row>
    <row r="103" spans="1:8" ht="12.75" customHeight="1">
      <c r="A103" s="23">
        <v>43314</v>
      </c>
      <c r="B103" s="23"/>
      <c r="C103" s="24">
        <f>ROUND(2.56,5)</f>
        <v>2.56</v>
      </c>
      <c r="D103" s="24">
        <f>F103</f>
        <v>138.68069</v>
      </c>
      <c r="E103" s="24">
        <f>F103</f>
        <v>138.68069</v>
      </c>
      <c r="F103" s="24">
        <f>ROUND(138.68069,5)</f>
        <v>138.68069</v>
      </c>
      <c r="G103" s="25"/>
      <c r="H103" s="26"/>
    </row>
    <row r="104" spans="1:8" ht="12.75" customHeight="1">
      <c r="A104" s="23">
        <v>43405</v>
      </c>
      <c r="B104" s="23"/>
      <c r="C104" s="24">
        <f>ROUND(2.56,5)</f>
        <v>2.56</v>
      </c>
      <c r="D104" s="24">
        <f>F104</f>
        <v>141.2077</v>
      </c>
      <c r="E104" s="24">
        <f>F104</f>
        <v>141.2077</v>
      </c>
      <c r="F104" s="24">
        <f>ROUND(141.2077,5)</f>
        <v>141.2077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ROUND(3.17,5)</f>
        <v>3.17</v>
      </c>
      <c r="D106" s="24">
        <f>F106</f>
        <v>128.15432</v>
      </c>
      <c r="E106" s="24">
        <f>F106</f>
        <v>128.15432</v>
      </c>
      <c r="F106" s="24">
        <f>ROUND(128.15432,5)</f>
        <v>128.15432</v>
      </c>
      <c r="G106" s="25"/>
      <c r="H106" s="26"/>
    </row>
    <row r="107" spans="1:8" ht="12.75" customHeight="1">
      <c r="A107" s="23">
        <v>43132</v>
      </c>
      <c r="B107" s="23"/>
      <c r="C107" s="24">
        <f>ROUND(3.17,5)</f>
        <v>3.17</v>
      </c>
      <c r="D107" s="24">
        <f>F107</f>
        <v>130.55478</v>
      </c>
      <c r="E107" s="24">
        <f>F107</f>
        <v>130.55478</v>
      </c>
      <c r="F107" s="24">
        <f>ROUND(130.55478,5)</f>
        <v>130.55478</v>
      </c>
      <c r="G107" s="25"/>
      <c r="H107" s="26"/>
    </row>
    <row r="108" spans="1:8" ht="12.75" customHeight="1">
      <c r="A108" s="23">
        <v>43223</v>
      </c>
      <c r="B108" s="23"/>
      <c r="C108" s="24">
        <f>ROUND(3.17,5)</f>
        <v>3.17</v>
      </c>
      <c r="D108" s="24">
        <f>F108</f>
        <v>133.05101</v>
      </c>
      <c r="E108" s="24">
        <f>F108</f>
        <v>133.05101</v>
      </c>
      <c r="F108" s="24">
        <f>ROUND(133.05101,5)</f>
        <v>133.05101</v>
      </c>
      <c r="G108" s="25"/>
      <c r="H108" s="26"/>
    </row>
    <row r="109" spans="1:8" ht="12.75" customHeight="1">
      <c r="A109" s="23">
        <v>43314</v>
      </c>
      <c r="B109" s="23"/>
      <c r="C109" s="24">
        <f>ROUND(3.17,5)</f>
        <v>3.17</v>
      </c>
      <c r="D109" s="24">
        <f>F109</f>
        <v>135.57233</v>
      </c>
      <c r="E109" s="24">
        <f>F109</f>
        <v>135.57233</v>
      </c>
      <c r="F109" s="24">
        <f>ROUND(135.57233,5)</f>
        <v>135.57233</v>
      </c>
      <c r="G109" s="25"/>
      <c r="H109" s="26"/>
    </row>
    <row r="110" spans="1:8" ht="12.75" customHeight="1">
      <c r="A110" s="23">
        <v>43405</v>
      </c>
      <c r="B110" s="23"/>
      <c r="C110" s="24">
        <f>ROUND(3.17,5)</f>
        <v>3.17</v>
      </c>
      <c r="D110" s="24">
        <f>F110</f>
        <v>138.043</v>
      </c>
      <c r="E110" s="24">
        <f>F110</f>
        <v>138.043</v>
      </c>
      <c r="F110" s="24">
        <f>ROUND(138.043,5)</f>
        <v>138.043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ROUND(10.765,5)</f>
        <v>10.765</v>
      </c>
      <c r="D112" s="24">
        <f>F112</f>
        <v>10.84224</v>
      </c>
      <c r="E112" s="24">
        <f>F112</f>
        <v>10.84224</v>
      </c>
      <c r="F112" s="24">
        <f>ROUND(10.84224,5)</f>
        <v>10.84224</v>
      </c>
      <c r="G112" s="25"/>
      <c r="H112" s="26"/>
    </row>
    <row r="113" spans="1:8" ht="12.75" customHeight="1">
      <c r="A113" s="23">
        <v>43132</v>
      </c>
      <c r="B113" s="23"/>
      <c r="C113" s="24">
        <f>ROUND(10.765,5)</f>
        <v>10.765</v>
      </c>
      <c r="D113" s="24">
        <f>F113</f>
        <v>10.9503</v>
      </c>
      <c r="E113" s="24">
        <f>F113</f>
        <v>10.9503</v>
      </c>
      <c r="F113" s="24">
        <f>ROUND(10.9503,5)</f>
        <v>10.9503</v>
      </c>
      <c r="G113" s="25"/>
      <c r="H113" s="26"/>
    </row>
    <row r="114" spans="1:8" ht="12.75" customHeight="1">
      <c r="A114" s="23">
        <v>43223</v>
      </c>
      <c r="B114" s="23"/>
      <c r="C114" s="24">
        <f>ROUND(10.765,5)</f>
        <v>10.765</v>
      </c>
      <c r="D114" s="24">
        <f>F114</f>
        <v>11.05519</v>
      </c>
      <c r="E114" s="24">
        <f>F114</f>
        <v>11.05519</v>
      </c>
      <c r="F114" s="24">
        <f>ROUND(11.05519,5)</f>
        <v>11.05519</v>
      </c>
      <c r="G114" s="25"/>
      <c r="H114" s="26"/>
    </row>
    <row r="115" spans="1:8" ht="12.75" customHeight="1">
      <c r="A115" s="23">
        <v>43314</v>
      </c>
      <c r="B115" s="23"/>
      <c r="C115" s="24">
        <f>ROUND(10.765,5)</f>
        <v>10.765</v>
      </c>
      <c r="D115" s="24">
        <f>F115</f>
        <v>11.16059</v>
      </c>
      <c r="E115" s="24">
        <f>F115</f>
        <v>11.16059</v>
      </c>
      <c r="F115" s="24">
        <f>ROUND(11.16059,5)</f>
        <v>11.16059</v>
      </c>
      <c r="G115" s="25"/>
      <c r="H115" s="26"/>
    </row>
    <row r="116" spans="1:8" ht="12.75" customHeight="1">
      <c r="A116" s="23">
        <v>43405</v>
      </c>
      <c r="B116" s="23"/>
      <c r="C116" s="24">
        <f>ROUND(10.765,5)</f>
        <v>10.765</v>
      </c>
      <c r="D116" s="24">
        <f>F116</f>
        <v>11.27857</v>
      </c>
      <c r="E116" s="24">
        <f>F116</f>
        <v>11.27857</v>
      </c>
      <c r="F116" s="24">
        <f>ROUND(11.27857,5)</f>
        <v>11.27857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ROUND(10.995,5)</f>
        <v>10.995</v>
      </c>
      <c r="D118" s="24">
        <f>F118</f>
        <v>11.07161</v>
      </c>
      <c r="E118" s="24">
        <f>F118</f>
        <v>11.07161</v>
      </c>
      <c r="F118" s="24">
        <f>ROUND(11.07161,5)</f>
        <v>11.07161</v>
      </c>
      <c r="G118" s="25"/>
      <c r="H118" s="26"/>
    </row>
    <row r="119" spans="1:8" ht="12.75" customHeight="1">
      <c r="A119" s="23">
        <v>43132</v>
      </c>
      <c r="B119" s="23"/>
      <c r="C119" s="24">
        <f>ROUND(10.995,5)</f>
        <v>10.995</v>
      </c>
      <c r="D119" s="24">
        <f>F119</f>
        <v>11.1755</v>
      </c>
      <c r="E119" s="24">
        <f>F119</f>
        <v>11.1755</v>
      </c>
      <c r="F119" s="24">
        <f>ROUND(11.1755,5)</f>
        <v>11.1755</v>
      </c>
      <c r="G119" s="25"/>
      <c r="H119" s="26"/>
    </row>
    <row r="120" spans="1:8" ht="12.75" customHeight="1">
      <c r="A120" s="23">
        <v>43223</v>
      </c>
      <c r="B120" s="23"/>
      <c r="C120" s="24">
        <f>ROUND(10.995,5)</f>
        <v>10.995</v>
      </c>
      <c r="D120" s="24">
        <f>F120</f>
        <v>11.28144</v>
      </c>
      <c r="E120" s="24">
        <f>F120</f>
        <v>11.28144</v>
      </c>
      <c r="F120" s="24">
        <f>ROUND(11.28144,5)</f>
        <v>11.28144</v>
      </c>
      <c r="G120" s="25"/>
      <c r="H120" s="26"/>
    </row>
    <row r="121" spans="1:8" ht="12.75" customHeight="1">
      <c r="A121" s="23">
        <v>43314</v>
      </c>
      <c r="B121" s="23"/>
      <c r="C121" s="24">
        <f>ROUND(10.995,5)</f>
        <v>10.995</v>
      </c>
      <c r="D121" s="24">
        <f>F121</f>
        <v>11.38603</v>
      </c>
      <c r="E121" s="24">
        <f>F121</f>
        <v>11.38603</v>
      </c>
      <c r="F121" s="24">
        <f>ROUND(11.38603,5)</f>
        <v>11.38603</v>
      </c>
      <c r="G121" s="25"/>
      <c r="H121" s="26"/>
    </row>
    <row r="122" spans="1:8" ht="12.75" customHeight="1">
      <c r="A122" s="23">
        <v>43405</v>
      </c>
      <c r="B122" s="23"/>
      <c r="C122" s="24">
        <f>ROUND(10.995,5)</f>
        <v>10.995</v>
      </c>
      <c r="D122" s="24">
        <f>F122</f>
        <v>11.50171</v>
      </c>
      <c r="E122" s="24">
        <f>F122</f>
        <v>11.50171</v>
      </c>
      <c r="F122" s="24">
        <f>ROUND(11.50171,5)</f>
        <v>11.50171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ROUND(7.86,5)</f>
        <v>7.86</v>
      </c>
      <c r="D124" s="24">
        <f>F124</f>
        <v>7.88255</v>
      </c>
      <c r="E124" s="24">
        <f>F124</f>
        <v>7.88255</v>
      </c>
      <c r="F124" s="24">
        <f>ROUND(7.88255,5)</f>
        <v>7.88255</v>
      </c>
      <c r="G124" s="25"/>
      <c r="H124" s="26"/>
    </row>
    <row r="125" spans="1:8" ht="12.75" customHeight="1">
      <c r="A125" s="23">
        <v>43132</v>
      </c>
      <c r="B125" s="23"/>
      <c r="C125" s="24">
        <f>ROUND(7.86,5)</f>
        <v>7.86</v>
      </c>
      <c r="D125" s="24">
        <f>F125</f>
        <v>7.9132</v>
      </c>
      <c r="E125" s="24">
        <f>F125</f>
        <v>7.9132</v>
      </c>
      <c r="F125" s="24">
        <f>ROUND(7.9132,5)</f>
        <v>7.9132</v>
      </c>
      <c r="G125" s="25"/>
      <c r="H125" s="26"/>
    </row>
    <row r="126" spans="1:8" ht="12.75" customHeight="1">
      <c r="A126" s="23">
        <v>43223</v>
      </c>
      <c r="B126" s="23"/>
      <c r="C126" s="24">
        <f>ROUND(7.86,5)</f>
        <v>7.86</v>
      </c>
      <c r="D126" s="24">
        <f>F126</f>
        <v>7.93291</v>
      </c>
      <c r="E126" s="24">
        <f>F126</f>
        <v>7.93291</v>
      </c>
      <c r="F126" s="24">
        <f>ROUND(7.93291,5)</f>
        <v>7.93291</v>
      </c>
      <c r="G126" s="25"/>
      <c r="H126" s="26"/>
    </row>
    <row r="127" spans="1:8" ht="12.75" customHeight="1">
      <c r="A127" s="23">
        <v>43314</v>
      </c>
      <c r="B127" s="23"/>
      <c r="C127" s="24">
        <f>ROUND(7.86,5)</f>
        <v>7.86</v>
      </c>
      <c r="D127" s="24">
        <f>F127</f>
        <v>7.94896</v>
      </c>
      <c r="E127" s="24">
        <f>F127</f>
        <v>7.94896</v>
      </c>
      <c r="F127" s="24">
        <f>ROUND(7.94896,5)</f>
        <v>7.94896</v>
      </c>
      <c r="G127" s="25"/>
      <c r="H127" s="26"/>
    </row>
    <row r="128" spans="1:8" ht="12.75" customHeight="1">
      <c r="A128" s="23">
        <v>43405</v>
      </c>
      <c r="B128" s="23"/>
      <c r="C128" s="24">
        <f>ROUND(7.86,5)</f>
        <v>7.86</v>
      </c>
      <c r="D128" s="24">
        <f>F128</f>
        <v>7.98423</v>
      </c>
      <c r="E128" s="24">
        <f>F128</f>
        <v>7.98423</v>
      </c>
      <c r="F128" s="24">
        <f>ROUND(7.98423,5)</f>
        <v>7.98423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ROUND(9.59,5)</f>
        <v>9.59</v>
      </c>
      <c r="D130" s="24">
        <f>F130</f>
        <v>9.63874</v>
      </c>
      <c r="E130" s="24">
        <f>F130</f>
        <v>9.63874</v>
      </c>
      <c r="F130" s="24">
        <f>ROUND(9.63874,5)</f>
        <v>9.63874</v>
      </c>
      <c r="G130" s="25"/>
      <c r="H130" s="26"/>
    </row>
    <row r="131" spans="1:8" ht="12.75" customHeight="1">
      <c r="A131" s="23">
        <v>43132</v>
      </c>
      <c r="B131" s="23"/>
      <c r="C131" s="24">
        <f>ROUND(9.59,5)</f>
        <v>9.59</v>
      </c>
      <c r="D131" s="24">
        <f>F131</f>
        <v>9.70618</v>
      </c>
      <c r="E131" s="24">
        <f>F131</f>
        <v>9.70618</v>
      </c>
      <c r="F131" s="24">
        <f>ROUND(9.70618,5)</f>
        <v>9.70618</v>
      </c>
      <c r="G131" s="25"/>
      <c r="H131" s="26"/>
    </row>
    <row r="132" spans="1:8" ht="12.75" customHeight="1">
      <c r="A132" s="23">
        <v>43223</v>
      </c>
      <c r="B132" s="23"/>
      <c r="C132" s="24">
        <f>ROUND(9.59,5)</f>
        <v>9.59</v>
      </c>
      <c r="D132" s="24">
        <f>F132</f>
        <v>9.76816</v>
      </c>
      <c r="E132" s="24">
        <f>F132</f>
        <v>9.76816</v>
      </c>
      <c r="F132" s="24">
        <f>ROUND(9.76816,5)</f>
        <v>9.76816</v>
      </c>
      <c r="G132" s="25"/>
      <c r="H132" s="26"/>
    </row>
    <row r="133" spans="1:8" ht="12.75" customHeight="1">
      <c r="A133" s="23">
        <v>43314</v>
      </c>
      <c r="B133" s="23"/>
      <c r="C133" s="24">
        <f>ROUND(9.59,5)</f>
        <v>9.59</v>
      </c>
      <c r="D133" s="24">
        <f>F133</f>
        <v>9.83026</v>
      </c>
      <c r="E133" s="24">
        <f>F133</f>
        <v>9.83026</v>
      </c>
      <c r="F133" s="24">
        <f>ROUND(9.83026,5)</f>
        <v>9.83026</v>
      </c>
      <c r="G133" s="25"/>
      <c r="H133" s="26"/>
    </row>
    <row r="134" spans="1:8" ht="12.75" customHeight="1">
      <c r="A134" s="23">
        <v>43405</v>
      </c>
      <c r="B134" s="23"/>
      <c r="C134" s="24">
        <f>ROUND(9.59,5)</f>
        <v>9.59</v>
      </c>
      <c r="D134" s="24">
        <f>F134</f>
        <v>9.90258</v>
      </c>
      <c r="E134" s="24">
        <f>F134</f>
        <v>9.90258</v>
      </c>
      <c r="F134" s="24">
        <f>ROUND(9.90258,5)</f>
        <v>9.90258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ROUND(8.57,5)</f>
        <v>8.57</v>
      </c>
      <c r="D136" s="24">
        <f>F136</f>
        <v>8.60554</v>
      </c>
      <c r="E136" s="24">
        <f>F136</f>
        <v>8.60554</v>
      </c>
      <c r="F136" s="24">
        <f>ROUND(8.60554,5)</f>
        <v>8.60554</v>
      </c>
      <c r="G136" s="25"/>
      <c r="H136" s="26"/>
    </row>
    <row r="137" spans="1:8" ht="12.75" customHeight="1">
      <c r="A137" s="23">
        <v>43132</v>
      </c>
      <c r="B137" s="23"/>
      <c r="C137" s="24">
        <f>ROUND(8.57,5)</f>
        <v>8.57</v>
      </c>
      <c r="D137" s="24">
        <f>F137</f>
        <v>8.65464</v>
      </c>
      <c r="E137" s="24">
        <f>F137</f>
        <v>8.65464</v>
      </c>
      <c r="F137" s="24">
        <f>ROUND(8.65464,5)</f>
        <v>8.65464</v>
      </c>
      <c r="G137" s="25"/>
      <c r="H137" s="26"/>
    </row>
    <row r="138" spans="1:8" ht="12.75" customHeight="1">
      <c r="A138" s="23">
        <v>43223</v>
      </c>
      <c r="B138" s="23"/>
      <c r="C138" s="24">
        <f>ROUND(8.57,5)</f>
        <v>8.57</v>
      </c>
      <c r="D138" s="24">
        <f>F138</f>
        <v>8.70252</v>
      </c>
      <c r="E138" s="24">
        <f>F138</f>
        <v>8.70252</v>
      </c>
      <c r="F138" s="24">
        <f>ROUND(8.70252,5)</f>
        <v>8.70252</v>
      </c>
      <c r="G138" s="25"/>
      <c r="H138" s="26"/>
    </row>
    <row r="139" spans="1:8" ht="12.75" customHeight="1">
      <c r="A139" s="23">
        <v>43314</v>
      </c>
      <c r="B139" s="23"/>
      <c r="C139" s="24">
        <f>ROUND(8.57,5)</f>
        <v>8.57</v>
      </c>
      <c r="D139" s="24">
        <f>F139</f>
        <v>8.74992</v>
      </c>
      <c r="E139" s="24">
        <f>F139</f>
        <v>8.74992</v>
      </c>
      <c r="F139" s="24">
        <f>ROUND(8.74992,5)</f>
        <v>8.74992</v>
      </c>
      <c r="G139" s="25"/>
      <c r="H139" s="26"/>
    </row>
    <row r="140" spans="1:8" ht="12.75" customHeight="1">
      <c r="A140" s="23">
        <v>43405</v>
      </c>
      <c r="B140" s="23"/>
      <c r="C140" s="24">
        <f>ROUND(8.57,5)</f>
        <v>8.57</v>
      </c>
      <c r="D140" s="24">
        <f>F140</f>
        <v>8.80653</v>
      </c>
      <c r="E140" s="24">
        <f>F140</f>
        <v>8.80653</v>
      </c>
      <c r="F140" s="24">
        <f>ROUND(8.80653,5)</f>
        <v>8.80653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ROUND(2.4,5)</f>
        <v>2.4</v>
      </c>
      <c r="D142" s="24">
        <f>F142</f>
        <v>301.43556</v>
      </c>
      <c r="E142" s="24">
        <f>F142</f>
        <v>301.43556</v>
      </c>
      <c r="F142" s="24">
        <f>ROUND(301.43556,5)</f>
        <v>301.43556</v>
      </c>
      <c r="G142" s="25"/>
      <c r="H142" s="26"/>
    </row>
    <row r="143" spans="1:8" ht="12.75" customHeight="1">
      <c r="A143" s="23">
        <v>43132</v>
      </c>
      <c r="B143" s="23"/>
      <c r="C143" s="24">
        <f>ROUND(2.4,5)</f>
        <v>2.4</v>
      </c>
      <c r="D143" s="24">
        <f>F143</f>
        <v>300.03302</v>
      </c>
      <c r="E143" s="24">
        <f>F143</f>
        <v>300.03302</v>
      </c>
      <c r="F143" s="24">
        <f>ROUND(300.03302,5)</f>
        <v>300.03302</v>
      </c>
      <c r="G143" s="25"/>
      <c r="H143" s="26"/>
    </row>
    <row r="144" spans="1:8" ht="12.75" customHeight="1">
      <c r="A144" s="23">
        <v>43223</v>
      </c>
      <c r="B144" s="23"/>
      <c r="C144" s="24">
        <f>ROUND(2.4,5)</f>
        <v>2.4</v>
      </c>
      <c r="D144" s="24">
        <f>F144</f>
        <v>305.76987</v>
      </c>
      <c r="E144" s="24">
        <f>F144</f>
        <v>305.76987</v>
      </c>
      <c r="F144" s="24">
        <f>ROUND(305.76987,5)</f>
        <v>305.76987</v>
      </c>
      <c r="G144" s="25"/>
      <c r="H144" s="26"/>
    </row>
    <row r="145" spans="1:8" ht="12.75" customHeight="1">
      <c r="A145" s="23">
        <v>43314</v>
      </c>
      <c r="B145" s="23"/>
      <c r="C145" s="24">
        <f>ROUND(2.4,5)</f>
        <v>2.4</v>
      </c>
      <c r="D145" s="24">
        <f>F145</f>
        <v>311.56355</v>
      </c>
      <c r="E145" s="24">
        <f>F145</f>
        <v>311.56355</v>
      </c>
      <c r="F145" s="24">
        <f>ROUND(311.56355,5)</f>
        <v>311.56355</v>
      </c>
      <c r="G145" s="25"/>
      <c r="H145" s="26"/>
    </row>
    <row r="146" spans="1:8" ht="12.75" customHeight="1">
      <c r="A146" s="23">
        <v>43405</v>
      </c>
      <c r="B146" s="23"/>
      <c r="C146" s="24">
        <f>ROUND(2.4,5)</f>
        <v>2.4</v>
      </c>
      <c r="D146" s="24">
        <f>F146</f>
        <v>317.24003</v>
      </c>
      <c r="E146" s="24">
        <f>F146</f>
        <v>317.24003</v>
      </c>
      <c r="F146" s="24">
        <f>ROUND(317.24003,5)</f>
        <v>317.24003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ROUND(2.53,5)</f>
        <v>2.53</v>
      </c>
      <c r="D148" s="24">
        <f>F148</f>
        <v>241.95245</v>
      </c>
      <c r="E148" s="24">
        <f>F148</f>
        <v>241.95245</v>
      </c>
      <c r="F148" s="24">
        <f>ROUND(241.95245,5)</f>
        <v>241.95245</v>
      </c>
      <c r="G148" s="25"/>
      <c r="H148" s="26"/>
    </row>
    <row r="149" spans="1:8" ht="12.75" customHeight="1">
      <c r="A149" s="23">
        <v>43132</v>
      </c>
      <c r="B149" s="23"/>
      <c r="C149" s="24">
        <f>ROUND(2.53,5)</f>
        <v>2.53</v>
      </c>
      <c r="D149" s="24">
        <f>F149</f>
        <v>242.74073</v>
      </c>
      <c r="E149" s="24">
        <f>F149</f>
        <v>242.74073</v>
      </c>
      <c r="F149" s="24">
        <f>ROUND(242.74073,5)</f>
        <v>242.74073</v>
      </c>
      <c r="G149" s="25"/>
      <c r="H149" s="26"/>
    </row>
    <row r="150" spans="1:8" ht="12.75" customHeight="1">
      <c r="A150" s="23">
        <v>43223</v>
      </c>
      <c r="B150" s="23"/>
      <c r="C150" s="24">
        <f>ROUND(2.53,5)</f>
        <v>2.53</v>
      </c>
      <c r="D150" s="24">
        <f>F150</f>
        <v>247.38199</v>
      </c>
      <c r="E150" s="24">
        <f>F150</f>
        <v>247.38199</v>
      </c>
      <c r="F150" s="24">
        <f>ROUND(247.38199,5)</f>
        <v>247.38199</v>
      </c>
      <c r="G150" s="25"/>
      <c r="H150" s="26"/>
    </row>
    <row r="151" spans="1:8" ht="12.75" customHeight="1">
      <c r="A151" s="23">
        <v>43314</v>
      </c>
      <c r="B151" s="23"/>
      <c r="C151" s="24">
        <f>ROUND(2.53,5)</f>
        <v>2.53</v>
      </c>
      <c r="D151" s="24">
        <f>F151</f>
        <v>252.06964</v>
      </c>
      <c r="E151" s="24">
        <f>F151</f>
        <v>252.06964</v>
      </c>
      <c r="F151" s="24">
        <f>ROUND(252.06964,5)</f>
        <v>252.06964</v>
      </c>
      <c r="G151" s="25"/>
      <c r="H151" s="26"/>
    </row>
    <row r="152" spans="1:8" ht="12.75" customHeight="1">
      <c r="A152" s="23">
        <v>43405</v>
      </c>
      <c r="B152" s="23"/>
      <c r="C152" s="24">
        <f>ROUND(2.53,5)</f>
        <v>2.53</v>
      </c>
      <c r="D152" s="24">
        <f>F152</f>
        <v>256.66282</v>
      </c>
      <c r="E152" s="24">
        <f>F152</f>
        <v>256.66282</v>
      </c>
      <c r="F152" s="24">
        <f>ROUND(256.66282,5)</f>
        <v>256.66282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ROUND(5.35,5)</f>
        <v>5.35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ROUND(6.97,5)</f>
        <v>6.97</v>
      </c>
      <c r="D156" s="24">
        <f>F156</f>
        <v>6.89217</v>
      </c>
      <c r="E156" s="24">
        <f>F156</f>
        <v>6.89217</v>
      </c>
      <c r="F156" s="24">
        <f>ROUND(6.89217,5)</f>
        <v>6.89217</v>
      </c>
      <c r="G156" s="25"/>
      <c r="H156" s="26"/>
    </row>
    <row r="157" spans="1:8" ht="12.75" customHeight="1">
      <c r="A157" s="23">
        <v>43132</v>
      </c>
      <c r="B157" s="23"/>
      <c r="C157" s="24">
        <f>ROUND(6.97,5)</f>
        <v>6.97</v>
      </c>
      <c r="D157" s="24">
        <f>F157</f>
        <v>6.72925</v>
      </c>
      <c r="E157" s="24">
        <f>F157</f>
        <v>6.72925</v>
      </c>
      <c r="F157" s="24">
        <f>ROUND(6.72925,5)</f>
        <v>6.72925</v>
      </c>
      <c r="G157" s="25"/>
      <c r="H157" s="26"/>
    </row>
    <row r="158" spans="1:8" ht="12.75" customHeight="1">
      <c r="A158" s="23">
        <v>43223</v>
      </c>
      <c r="B158" s="23"/>
      <c r="C158" s="24">
        <f>ROUND(6.97,5)</f>
        <v>6.97</v>
      </c>
      <c r="D158" s="24">
        <f>F158</f>
        <v>6.39208</v>
      </c>
      <c r="E158" s="24">
        <f>F158</f>
        <v>6.39208</v>
      </c>
      <c r="F158" s="24">
        <f>ROUND(6.39208,5)</f>
        <v>6.39208</v>
      </c>
      <c r="G158" s="25"/>
      <c r="H158" s="26"/>
    </row>
    <row r="159" spans="1:8" ht="12.75" customHeight="1">
      <c r="A159" s="23">
        <v>43314</v>
      </c>
      <c r="B159" s="23"/>
      <c r="C159" s="24">
        <f>ROUND(6.97,5)</f>
        <v>6.97</v>
      </c>
      <c r="D159" s="24">
        <f>F159</f>
        <v>5.52099</v>
      </c>
      <c r="E159" s="24">
        <f>F159</f>
        <v>5.52099</v>
      </c>
      <c r="F159" s="24">
        <f>ROUND(5.52099,5)</f>
        <v>5.52099</v>
      </c>
      <c r="G159" s="25"/>
      <c r="H159" s="26"/>
    </row>
    <row r="160" spans="1:8" ht="12.75" customHeight="1">
      <c r="A160" s="23">
        <v>43405</v>
      </c>
      <c r="B160" s="23"/>
      <c r="C160" s="24">
        <f>ROUND(6.97,5)</f>
        <v>6.97</v>
      </c>
      <c r="D160" s="24">
        <f>F160</f>
        <v>1.69844</v>
      </c>
      <c r="E160" s="24">
        <f>F160</f>
        <v>1.69844</v>
      </c>
      <c r="F160" s="24">
        <f>ROUND(1.69844,5)</f>
        <v>1.69844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ROUND(7.305,5)</f>
        <v>7.305</v>
      </c>
      <c r="D162" s="24">
        <f>F162</f>
        <v>7.29104</v>
      </c>
      <c r="E162" s="24">
        <f>F162</f>
        <v>7.29104</v>
      </c>
      <c r="F162" s="24">
        <f>ROUND(7.29104,5)</f>
        <v>7.29104</v>
      </c>
      <c r="G162" s="25"/>
      <c r="H162" s="26"/>
    </row>
    <row r="163" spans="1:8" ht="12.75" customHeight="1">
      <c r="A163" s="23">
        <v>43132</v>
      </c>
      <c r="B163" s="23"/>
      <c r="C163" s="24">
        <f>ROUND(7.305,5)</f>
        <v>7.305</v>
      </c>
      <c r="D163" s="24">
        <f>F163</f>
        <v>7.26583</v>
      </c>
      <c r="E163" s="24">
        <f>F163</f>
        <v>7.26583</v>
      </c>
      <c r="F163" s="24">
        <f>ROUND(7.26583,5)</f>
        <v>7.26583</v>
      </c>
      <c r="G163" s="25"/>
      <c r="H163" s="26"/>
    </row>
    <row r="164" spans="1:8" ht="12.75" customHeight="1">
      <c r="A164" s="23">
        <v>43223</v>
      </c>
      <c r="B164" s="23"/>
      <c r="C164" s="24">
        <f>ROUND(7.305,5)</f>
        <v>7.305</v>
      </c>
      <c r="D164" s="24">
        <f>F164</f>
        <v>7.22859</v>
      </c>
      <c r="E164" s="24">
        <f>F164</f>
        <v>7.22859</v>
      </c>
      <c r="F164" s="24">
        <f>ROUND(7.22859,5)</f>
        <v>7.22859</v>
      </c>
      <c r="G164" s="25"/>
      <c r="H164" s="26"/>
    </row>
    <row r="165" spans="1:8" ht="12.75" customHeight="1">
      <c r="A165" s="23">
        <v>43314</v>
      </c>
      <c r="B165" s="23"/>
      <c r="C165" s="24">
        <f>ROUND(7.305,5)</f>
        <v>7.305</v>
      </c>
      <c r="D165" s="24">
        <f>F165</f>
        <v>7.16172</v>
      </c>
      <c r="E165" s="24">
        <f>F165</f>
        <v>7.16172</v>
      </c>
      <c r="F165" s="24">
        <f>ROUND(7.16172,5)</f>
        <v>7.16172</v>
      </c>
      <c r="G165" s="25"/>
      <c r="H165" s="26"/>
    </row>
    <row r="166" spans="1:8" ht="12.75" customHeight="1">
      <c r="A166" s="23">
        <v>43405</v>
      </c>
      <c r="B166" s="23"/>
      <c r="C166" s="24">
        <f>ROUND(7.305,5)</f>
        <v>7.305</v>
      </c>
      <c r="D166" s="24">
        <f>F166</f>
        <v>7.08259</v>
      </c>
      <c r="E166" s="24">
        <f>F166</f>
        <v>7.08259</v>
      </c>
      <c r="F166" s="24">
        <f>ROUND(7.08259,5)</f>
        <v>7.08259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ROUND(7.46,5)</f>
        <v>7.46</v>
      </c>
      <c r="D168" s="24">
        <f>F168</f>
        <v>7.46413</v>
      </c>
      <c r="E168" s="24">
        <f>F168</f>
        <v>7.46413</v>
      </c>
      <c r="F168" s="24">
        <f>ROUND(7.46413,5)</f>
        <v>7.46413</v>
      </c>
      <c r="G168" s="25"/>
      <c r="H168" s="26"/>
    </row>
    <row r="169" spans="1:8" ht="12.75" customHeight="1">
      <c r="A169" s="23">
        <v>43132</v>
      </c>
      <c r="B169" s="23"/>
      <c r="C169" s="24">
        <f>ROUND(7.46,5)</f>
        <v>7.46</v>
      </c>
      <c r="D169" s="24">
        <f>F169</f>
        <v>7.46809</v>
      </c>
      <c r="E169" s="24">
        <f>F169</f>
        <v>7.46809</v>
      </c>
      <c r="F169" s="24">
        <f>ROUND(7.46809,5)</f>
        <v>7.46809</v>
      </c>
      <c r="G169" s="25"/>
      <c r="H169" s="26"/>
    </row>
    <row r="170" spans="1:8" ht="12.75" customHeight="1">
      <c r="A170" s="23">
        <v>43223</v>
      </c>
      <c r="B170" s="23"/>
      <c r="C170" s="24">
        <f>ROUND(7.46,5)</f>
        <v>7.46</v>
      </c>
      <c r="D170" s="24">
        <f>F170</f>
        <v>7.45929</v>
      </c>
      <c r="E170" s="24">
        <f>F170</f>
        <v>7.45929</v>
      </c>
      <c r="F170" s="24">
        <f>ROUND(7.45929,5)</f>
        <v>7.45929</v>
      </c>
      <c r="G170" s="25"/>
      <c r="H170" s="26"/>
    </row>
    <row r="171" spans="1:8" ht="12.75" customHeight="1">
      <c r="A171" s="23">
        <v>43314</v>
      </c>
      <c r="B171" s="23"/>
      <c r="C171" s="24">
        <f>ROUND(7.46,5)</f>
        <v>7.46</v>
      </c>
      <c r="D171" s="24">
        <f>F171</f>
        <v>7.4403</v>
      </c>
      <c r="E171" s="24">
        <f>F171</f>
        <v>7.4403</v>
      </c>
      <c r="F171" s="24">
        <f>ROUND(7.4403,5)</f>
        <v>7.4403</v>
      </c>
      <c r="G171" s="25"/>
      <c r="H171" s="26"/>
    </row>
    <row r="172" spans="1:8" ht="12.75" customHeight="1">
      <c r="A172" s="23">
        <v>43405</v>
      </c>
      <c r="B172" s="23"/>
      <c r="C172" s="24">
        <f>ROUND(7.46,5)</f>
        <v>7.46</v>
      </c>
      <c r="D172" s="24">
        <f>F172</f>
        <v>7.43687</v>
      </c>
      <c r="E172" s="24">
        <f>F172</f>
        <v>7.43687</v>
      </c>
      <c r="F172" s="24">
        <f>ROUND(7.43687,5)</f>
        <v>7.43687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ROUND(9.56,5)</f>
        <v>9.56</v>
      </c>
      <c r="D174" s="24">
        <f>F174</f>
        <v>9.60259</v>
      </c>
      <c r="E174" s="24">
        <f>F174</f>
        <v>9.60259</v>
      </c>
      <c r="F174" s="24">
        <f>ROUND(9.60259,5)</f>
        <v>9.60259</v>
      </c>
      <c r="G174" s="25"/>
      <c r="H174" s="26"/>
    </row>
    <row r="175" spans="1:8" ht="12.75" customHeight="1">
      <c r="A175" s="23">
        <v>43132</v>
      </c>
      <c r="B175" s="23"/>
      <c r="C175" s="24">
        <f>ROUND(9.56,5)</f>
        <v>9.56</v>
      </c>
      <c r="D175" s="24">
        <f>F175</f>
        <v>9.66069</v>
      </c>
      <c r="E175" s="24">
        <f>F175</f>
        <v>9.66069</v>
      </c>
      <c r="F175" s="24">
        <f>ROUND(9.66069,5)</f>
        <v>9.66069</v>
      </c>
      <c r="G175" s="25"/>
      <c r="H175" s="26"/>
    </row>
    <row r="176" spans="1:8" ht="12.75" customHeight="1">
      <c r="A176" s="23">
        <v>43223</v>
      </c>
      <c r="B176" s="23"/>
      <c r="C176" s="24">
        <f>ROUND(9.56,5)</f>
        <v>9.56</v>
      </c>
      <c r="D176" s="24">
        <f>F176</f>
        <v>9.71709</v>
      </c>
      <c r="E176" s="24">
        <f>F176</f>
        <v>9.71709</v>
      </c>
      <c r="F176" s="24">
        <f>ROUND(9.71709,5)</f>
        <v>9.71709</v>
      </c>
      <c r="G176" s="25"/>
      <c r="H176" s="26"/>
    </row>
    <row r="177" spans="1:8" ht="12.75" customHeight="1">
      <c r="A177" s="23">
        <v>43314</v>
      </c>
      <c r="B177" s="23"/>
      <c r="C177" s="24">
        <f>ROUND(9.56,5)</f>
        <v>9.56</v>
      </c>
      <c r="D177" s="24">
        <f>F177</f>
        <v>9.77278</v>
      </c>
      <c r="E177" s="24">
        <f>F177</f>
        <v>9.77278</v>
      </c>
      <c r="F177" s="24">
        <f>ROUND(9.77278,5)</f>
        <v>9.77278</v>
      </c>
      <c r="G177" s="25"/>
      <c r="H177" s="26"/>
    </row>
    <row r="178" spans="1:8" ht="12.75" customHeight="1">
      <c r="A178" s="23">
        <v>43405</v>
      </c>
      <c r="B178" s="23"/>
      <c r="C178" s="24">
        <f>ROUND(9.56,5)</f>
        <v>9.56</v>
      </c>
      <c r="D178" s="24">
        <f>F178</f>
        <v>9.83558</v>
      </c>
      <c r="E178" s="24">
        <f>F178</f>
        <v>9.83558</v>
      </c>
      <c r="F178" s="24">
        <f>ROUND(9.83558,5)</f>
        <v>9.83558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ROUND(2.45,5)</f>
        <v>2.45</v>
      </c>
      <c r="D180" s="24">
        <f>F180</f>
        <v>186.42053</v>
      </c>
      <c r="E180" s="24">
        <f>F180</f>
        <v>186.42053</v>
      </c>
      <c r="F180" s="24">
        <f>ROUND(186.42053,5)</f>
        <v>186.42053</v>
      </c>
      <c r="G180" s="25"/>
      <c r="H180" s="26"/>
    </row>
    <row r="181" spans="1:8" ht="12.75" customHeight="1">
      <c r="A181" s="23">
        <v>43132</v>
      </c>
      <c r="B181" s="23"/>
      <c r="C181" s="24">
        <f>ROUND(2.45,5)</f>
        <v>2.45</v>
      </c>
      <c r="D181" s="24">
        <f>F181</f>
        <v>189.91221</v>
      </c>
      <c r="E181" s="24">
        <f>F181</f>
        <v>189.91221</v>
      </c>
      <c r="F181" s="24">
        <f>ROUND(189.91221,5)</f>
        <v>189.91221</v>
      </c>
      <c r="G181" s="25"/>
      <c r="H181" s="26"/>
    </row>
    <row r="182" spans="1:8" ht="12.75" customHeight="1">
      <c r="A182" s="23">
        <v>43223</v>
      </c>
      <c r="B182" s="23"/>
      <c r="C182" s="24">
        <f>ROUND(2.45,5)</f>
        <v>2.45</v>
      </c>
      <c r="D182" s="24">
        <f>F182</f>
        <v>191.09488</v>
      </c>
      <c r="E182" s="24">
        <f>F182</f>
        <v>191.09488</v>
      </c>
      <c r="F182" s="24">
        <f>ROUND(191.09488,5)</f>
        <v>191.09488</v>
      </c>
      <c r="G182" s="25"/>
      <c r="H182" s="26"/>
    </row>
    <row r="183" spans="1:8" ht="12.75" customHeight="1">
      <c r="A183" s="23">
        <v>43314</v>
      </c>
      <c r="B183" s="23"/>
      <c r="C183" s="24">
        <f>ROUND(2.45,5)</f>
        <v>2.45</v>
      </c>
      <c r="D183" s="24">
        <f>F183</f>
        <v>194.71547</v>
      </c>
      <c r="E183" s="24">
        <f>F183</f>
        <v>194.71547</v>
      </c>
      <c r="F183" s="24">
        <f>ROUND(194.71547,5)</f>
        <v>194.71547</v>
      </c>
      <c r="G183" s="25"/>
      <c r="H183" s="26"/>
    </row>
    <row r="184" spans="1:8" ht="12.75" customHeight="1">
      <c r="A184" s="23">
        <v>43405</v>
      </c>
      <c r="B184" s="23"/>
      <c r="C184" s="24">
        <f>ROUND(2.45,5)</f>
        <v>2.45</v>
      </c>
      <c r="D184" s="24">
        <f>F184</f>
        <v>198.26251</v>
      </c>
      <c r="E184" s="24">
        <f>F184</f>
        <v>198.26251</v>
      </c>
      <c r="F184" s="24">
        <f>ROUND(198.26251,5)</f>
        <v>198.26251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ROUND(2.38,5)</f>
        <v>2.38</v>
      </c>
      <c r="D188" s="24">
        <f>F188</f>
        <v>151.24579</v>
      </c>
      <c r="E188" s="24">
        <f>F188</f>
        <v>151.24579</v>
      </c>
      <c r="F188" s="24">
        <f>ROUND(151.24579,5)</f>
        <v>151.24579</v>
      </c>
      <c r="G188" s="25"/>
      <c r="H188" s="26"/>
    </row>
    <row r="189" spans="1:8" ht="12.75" customHeight="1">
      <c r="A189" s="23">
        <v>43132</v>
      </c>
      <c r="B189" s="23"/>
      <c r="C189" s="24">
        <f>ROUND(2.38,5)</f>
        <v>2.38</v>
      </c>
      <c r="D189" s="24">
        <f>F189</f>
        <v>152.0188</v>
      </c>
      <c r="E189" s="24">
        <f>F189</f>
        <v>152.0188</v>
      </c>
      <c r="F189" s="24">
        <f>ROUND(152.0188,5)</f>
        <v>152.0188</v>
      </c>
      <c r="G189" s="25"/>
      <c r="H189" s="26"/>
    </row>
    <row r="190" spans="1:8" ht="12.75" customHeight="1">
      <c r="A190" s="23">
        <v>43223</v>
      </c>
      <c r="B190" s="23"/>
      <c r="C190" s="24">
        <f>ROUND(2.38,5)</f>
        <v>2.38</v>
      </c>
      <c r="D190" s="24">
        <f>F190</f>
        <v>154.92546</v>
      </c>
      <c r="E190" s="24">
        <f>F190</f>
        <v>154.92546</v>
      </c>
      <c r="F190" s="24">
        <f>ROUND(154.92546,5)</f>
        <v>154.92546</v>
      </c>
      <c r="G190" s="25"/>
      <c r="H190" s="26"/>
    </row>
    <row r="191" spans="1:8" ht="12.75" customHeight="1">
      <c r="A191" s="23">
        <v>43314</v>
      </c>
      <c r="B191" s="23"/>
      <c r="C191" s="24">
        <f>ROUND(2.38,5)</f>
        <v>2.38</v>
      </c>
      <c r="D191" s="24">
        <f>F191</f>
        <v>157.86101</v>
      </c>
      <c r="E191" s="24">
        <f>F191</f>
        <v>157.86101</v>
      </c>
      <c r="F191" s="24">
        <f>ROUND(157.86101,5)</f>
        <v>157.86101</v>
      </c>
      <c r="G191" s="25"/>
      <c r="H191" s="26"/>
    </row>
    <row r="192" spans="1:8" ht="12.75" customHeight="1">
      <c r="A192" s="23">
        <v>43405</v>
      </c>
      <c r="B192" s="23"/>
      <c r="C192" s="24">
        <f>ROUND(2.38,5)</f>
        <v>2.38</v>
      </c>
      <c r="D192" s="24">
        <f>F192</f>
        <v>160.73723</v>
      </c>
      <c r="E192" s="24">
        <f>F192</f>
        <v>160.73723</v>
      </c>
      <c r="F192" s="24">
        <f>ROUND(160.73723,5)</f>
        <v>160.73723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ROUND(9.22,5)</f>
        <v>9.22</v>
      </c>
      <c r="D194" s="24">
        <f>F194</f>
        <v>9.26306</v>
      </c>
      <c r="E194" s="24">
        <f>F194</f>
        <v>9.26306</v>
      </c>
      <c r="F194" s="24">
        <f>ROUND(9.26306,5)</f>
        <v>9.26306</v>
      </c>
      <c r="G194" s="25"/>
      <c r="H194" s="26"/>
    </row>
    <row r="195" spans="1:8" ht="12.75" customHeight="1">
      <c r="A195" s="23">
        <v>43132</v>
      </c>
      <c r="B195" s="23"/>
      <c r="C195" s="24">
        <f>ROUND(9.22,5)</f>
        <v>9.22</v>
      </c>
      <c r="D195" s="24">
        <f>F195</f>
        <v>9.32253</v>
      </c>
      <c r="E195" s="24">
        <f>F195</f>
        <v>9.32253</v>
      </c>
      <c r="F195" s="24">
        <f>ROUND(9.32253,5)</f>
        <v>9.32253</v>
      </c>
      <c r="G195" s="25"/>
      <c r="H195" s="26"/>
    </row>
    <row r="196" spans="1:8" ht="12.75" customHeight="1">
      <c r="A196" s="23">
        <v>43223</v>
      </c>
      <c r="B196" s="23"/>
      <c r="C196" s="24">
        <f>ROUND(9.22,5)</f>
        <v>9.22</v>
      </c>
      <c r="D196" s="24">
        <f>F196</f>
        <v>9.37639</v>
      </c>
      <c r="E196" s="24">
        <f>F196</f>
        <v>9.37639</v>
      </c>
      <c r="F196" s="24">
        <f>ROUND(9.37639,5)</f>
        <v>9.37639</v>
      </c>
      <c r="G196" s="25"/>
      <c r="H196" s="26"/>
    </row>
    <row r="197" spans="1:8" ht="12.75" customHeight="1">
      <c r="A197" s="23">
        <v>43314</v>
      </c>
      <c r="B197" s="23"/>
      <c r="C197" s="24">
        <f>ROUND(9.22,5)</f>
        <v>9.22</v>
      </c>
      <c r="D197" s="24">
        <f>F197</f>
        <v>9.43005</v>
      </c>
      <c r="E197" s="24">
        <f>F197</f>
        <v>9.43005</v>
      </c>
      <c r="F197" s="24">
        <f>ROUND(9.43005,5)</f>
        <v>9.43005</v>
      </c>
      <c r="G197" s="25"/>
      <c r="H197" s="26"/>
    </row>
    <row r="198" spans="1:8" ht="12.75" customHeight="1">
      <c r="A198" s="23">
        <v>43405</v>
      </c>
      <c r="B198" s="23"/>
      <c r="C198" s="24">
        <f>ROUND(9.22,5)</f>
        <v>9.22</v>
      </c>
      <c r="D198" s="24">
        <f>F198</f>
        <v>9.49445</v>
      </c>
      <c r="E198" s="24">
        <f>F198</f>
        <v>9.49445</v>
      </c>
      <c r="F198" s="24">
        <f>ROUND(9.49445,5)</f>
        <v>9.49445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ROUND(9.695,5)</f>
        <v>9.695</v>
      </c>
      <c r="D200" s="24">
        <f>F200</f>
        <v>9.73898</v>
      </c>
      <c r="E200" s="24">
        <f>F200</f>
        <v>9.73898</v>
      </c>
      <c r="F200" s="24">
        <f>ROUND(9.73898,5)</f>
        <v>9.73898</v>
      </c>
      <c r="G200" s="25"/>
      <c r="H200" s="26"/>
    </row>
    <row r="201" spans="1:8" ht="12.75" customHeight="1">
      <c r="A201" s="23">
        <v>43132</v>
      </c>
      <c r="B201" s="23"/>
      <c r="C201" s="24">
        <f>ROUND(9.695,5)</f>
        <v>9.695</v>
      </c>
      <c r="D201" s="24">
        <f>F201</f>
        <v>9.7995</v>
      </c>
      <c r="E201" s="24">
        <f>F201</f>
        <v>9.7995</v>
      </c>
      <c r="F201" s="24">
        <f>ROUND(9.7995,5)</f>
        <v>9.7995</v>
      </c>
      <c r="G201" s="25"/>
      <c r="H201" s="26"/>
    </row>
    <row r="202" spans="1:8" ht="12.75" customHeight="1">
      <c r="A202" s="23">
        <v>43223</v>
      </c>
      <c r="B202" s="23"/>
      <c r="C202" s="24">
        <f>ROUND(9.695,5)</f>
        <v>9.695</v>
      </c>
      <c r="D202" s="24">
        <f>F202</f>
        <v>9.85498</v>
      </c>
      <c r="E202" s="24">
        <f>F202</f>
        <v>9.85498</v>
      </c>
      <c r="F202" s="24">
        <f>ROUND(9.85498,5)</f>
        <v>9.85498</v>
      </c>
      <c r="G202" s="25"/>
      <c r="H202" s="26"/>
    </row>
    <row r="203" spans="1:8" ht="12.75" customHeight="1">
      <c r="A203" s="23">
        <v>43314</v>
      </c>
      <c r="B203" s="23"/>
      <c r="C203" s="24">
        <f>ROUND(9.695,5)</f>
        <v>9.695</v>
      </c>
      <c r="D203" s="24">
        <f>F203</f>
        <v>9.91026</v>
      </c>
      <c r="E203" s="24">
        <f>F203</f>
        <v>9.91026</v>
      </c>
      <c r="F203" s="24">
        <f>ROUND(9.91026,5)</f>
        <v>9.91026</v>
      </c>
      <c r="G203" s="25"/>
      <c r="H203" s="26"/>
    </row>
    <row r="204" spans="1:8" ht="12.75" customHeight="1">
      <c r="A204" s="23">
        <v>43405</v>
      </c>
      <c r="B204" s="23"/>
      <c r="C204" s="24">
        <f>ROUND(9.695,5)</f>
        <v>9.695</v>
      </c>
      <c r="D204" s="24">
        <f>F204</f>
        <v>9.97394</v>
      </c>
      <c r="E204" s="24">
        <f>F204</f>
        <v>9.97394</v>
      </c>
      <c r="F204" s="24">
        <f>ROUND(9.97394,5)</f>
        <v>9.97394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ROUND(9.77,5)</f>
        <v>9.77</v>
      </c>
      <c r="D206" s="24">
        <f>F206</f>
        <v>9.8157</v>
      </c>
      <c r="E206" s="24">
        <f>F206</f>
        <v>9.8157</v>
      </c>
      <c r="F206" s="24">
        <f>ROUND(9.8157,5)</f>
        <v>9.8157</v>
      </c>
      <c r="G206" s="25"/>
      <c r="H206" s="26"/>
    </row>
    <row r="207" spans="1:8" ht="12.75" customHeight="1">
      <c r="A207" s="23">
        <v>43132</v>
      </c>
      <c r="B207" s="23"/>
      <c r="C207" s="24">
        <f>ROUND(9.77,5)</f>
        <v>9.77</v>
      </c>
      <c r="D207" s="24">
        <f>F207</f>
        <v>9.87869</v>
      </c>
      <c r="E207" s="24">
        <f>F207</f>
        <v>9.87869</v>
      </c>
      <c r="F207" s="24">
        <f>ROUND(9.87869,5)</f>
        <v>9.87869</v>
      </c>
      <c r="G207" s="25"/>
      <c r="H207" s="26"/>
    </row>
    <row r="208" spans="1:8" ht="12.75" customHeight="1">
      <c r="A208" s="23">
        <v>43223</v>
      </c>
      <c r="B208" s="23"/>
      <c r="C208" s="24">
        <f>ROUND(9.77,5)</f>
        <v>9.77</v>
      </c>
      <c r="D208" s="24">
        <f>F208</f>
        <v>9.93659</v>
      </c>
      <c r="E208" s="24">
        <f>F208</f>
        <v>9.93659</v>
      </c>
      <c r="F208" s="24">
        <f>ROUND(9.93659,5)</f>
        <v>9.93659</v>
      </c>
      <c r="G208" s="25"/>
      <c r="H208" s="26"/>
    </row>
    <row r="209" spans="1:8" ht="12.75" customHeight="1">
      <c r="A209" s="23">
        <v>43314</v>
      </c>
      <c r="B209" s="23"/>
      <c r="C209" s="24">
        <f>ROUND(9.77,5)</f>
        <v>9.77</v>
      </c>
      <c r="D209" s="24">
        <f>F209</f>
        <v>9.99441</v>
      </c>
      <c r="E209" s="24">
        <f>F209</f>
        <v>9.99441</v>
      </c>
      <c r="F209" s="24">
        <f>ROUND(9.99441,5)</f>
        <v>9.99441</v>
      </c>
      <c r="G209" s="25"/>
      <c r="H209" s="26"/>
    </row>
    <row r="210" spans="1:8" ht="12.75" customHeight="1">
      <c r="A210" s="23">
        <v>43405</v>
      </c>
      <c r="B210" s="23"/>
      <c r="C210" s="24">
        <f>ROUND(9.77,5)</f>
        <v>9.77</v>
      </c>
      <c r="D210" s="24">
        <f>F210</f>
        <v>10.06075</v>
      </c>
      <c r="E210" s="24">
        <f>F210</f>
        <v>10.06075</v>
      </c>
      <c r="F210" s="24">
        <f>ROUND(10.06075,5)</f>
        <v>10.06075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43096</v>
      </c>
      <c r="B212" s="23"/>
      <c r="C212" s="28">
        <f>ROUND(10.36658998,4)</f>
        <v>10.3666</v>
      </c>
      <c r="D212" s="28">
        <f>F212</f>
        <v>10.5435</v>
      </c>
      <c r="E212" s="28">
        <f>F212</f>
        <v>10.5435</v>
      </c>
      <c r="F212" s="28">
        <f>ROUND(10.5435,4)</f>
        <v>10.5435</v>
      </c>
      <c r="G212" s="25"/>
      <c r="H212" s="26"/>
    </row>
    <row r="213" spans="1:8" ht="12.75" customHeight="1">
      <c r="A213" s="23" t="s">
        <v>60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42976</v>
      </c>
      <c r="B214" s="23"/>
      <c r="C214" s="28">
        <f aca="true" t="shared" si="0" ref="C214:C219">ROUND(15.592285445,4)</f>
        <v>15.5923</v>
      </c>
      <c r="D214" s="28">
        <f aca="true" t="shared" si="1" ref="D214:D219">F214</f>
        <v>15.5955</v>
      </c>
      <c r="E214" s="28">
        <f aca="true" t="shared" si="2" ref="E214:E219">F214</f>
        <v>15.5955</v>
      </c>
      <c r="F214" s="28">
        <f>ROUND(15.5955,4)</f>
        <v>15.5955</v>
      </c>
      <c r="G214" s="25"/>
      <c r="H214" s="26"/>
    </row>
    <row r="215" spans="1:8" ht="12.75" customHeight="1">
      <c r="A215" s="23">
        <v>43005</v>
      </c>
      <c r="B215" s="23"/>
      <c r="C215" s="28">
        <f t="shared" si="0"/>
        <v>15.5923</v>
      </c>
      <c r="D215" s="28">
        <f t="shared" si="1"/>
        <v>15.6857</v>
      </c>
      <c r="E215" s="28">
        <f t="shared" si="2"/>
        <v>15.6857</v>
      </c>
      <c r="F215" s="28">
        <f>ROUND(15.6857,4)</f>
        <v>15.6857</v>
      </c>
      <c r="G215" s="25"/>
      <c r="H215" s="26"/>
    </row>
    <row r="216" spans="1:8" ht="12.75" customHeight="1">
      <c r="A216" s="23">
        <v>43035</v>
      </c>
      <c r="B216" s="23"/>
      <c r="C216" s="28">
        <f t="shared" si="0"/>
        <v>15.5923</v>
      </c>
      <c r="D216" s="28">
        <f t="shared" si="1"/>
        <v>15.7855</v>
      </c>
      <c r="E216" s="28">
        <f t="shared" si="2"/>
        <v>15.7855</v>
      </c>
      <c r="F216" s="28">
        <f>ROUND(15.7855,4)</f>
        <v>15.7855</v>
      </c>
      <c r="G216" s="25"/>
      <c r="H216" s="26"/>
    </row>
    <row r="217" spans="1:8" ht="12.75" customHeight="1">
      <c r="A217" s="23">
        <v>43067</v>
      </c>
      <c r="B217" s="23"/>
      <c r="C217" s="28">
        <f t="shared" si="0"/>
        <v>15.5923</v>
      </c>
      <c r="D217" s="28">
        <f t="shared" si="1"/>
        <v>15.8895</v>
      </c>
      <c r="E217" s="28">
        <f t="shared" si="2"/>
        <v>15.8895</v>
      </c>
      <c r="F217" s="28">
        <f>ROUND(15.8895,4)</f>
        <v>15.8895</v>
      </c>
      <c r="G217" s="25"/>
      <c r="H217" s="26"/>
    </row>
    <row r="218" spans="1:8" ht="12.75" customHeight="1">
      <c r="A218" s="23">
        <v>43096</v>
      </c>
      <c r="B218" s="23"/>
      <c r="C218" s="28">
        <f t="shared" si="0"/>
        <v>15.5923</v>
      </c>
      <c r="D218" s="28">
        <f t="shared" si="1"/>
        <v>15.9833</v>
      </c>
      <c r="E218" s="28">
        <f t="shared" si="2"/>
        <v>15.9833</v>
      </c>
      <c r="F218" s="28">
        <f>ROUND(15.9833,4)</f>
        <v>15.9833</v>
      </c>
      <c r="G218" s="25"/>
      <c r="H218" s="26"/>
    </row>
    <row r="219" spans="1:8" ht="12.75" customHeight="1">
      <c r="A219" s="23">
        <v>43131</v>
      </c>
      <c r="B219" s="23"/>
      <c r="C219" s="28">
        <f t="shared" si="0"/>
        <v>15.5923</v>
      </c>
      <c r="D219" s="28">
        <f t="shared" si="1"/>
        <v>16.1029</v>
      </c>
      <c r="E219" s="28">
        <f t="shared" si="2"/>
        <v>16.1029</v>
      </c>
      <c r="F219" s="28">
        <f>ROUND(16.1029,4)</f>
        <v>16.1029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42978</v>
      </c>
      <c r="B221" s="23"/>
      <c r="C221" s="28">
        <f>ROUND(16.8632125033333,4)</f>
        <v>16.8632</v>
      </c>
      <c r="D221" s="28">
        <f>F221</f>
        <v>17.0227</v>
      </c>
      <c r="E221" s="28">
        <f>F221</f>
        <v>17.0227</v>
      </c>
      <c r="F221" s="28">
        <f>ROUND(17.0227,4)</f>
        <v>17.0227</v>
      </c>
      <c r="G221" s="25"/>
      <c r="H221" s="26"/>
    </row>
    <row r="222" spans="1:8" ht="12.75" customHeight="1">
      <c r="A222" s="23">
        <v>43039</v>
      </c>
      <c r="B222" s="23"/>
      <c r="C222" s="28">
        <f>ROUND(16.8632125033333,4)</f>
        <v>16.8632</v>
      </c>
      <c r="D222" s="28">
        <f>F222</f>
        <v>17.0656</v>
      </c>
      <c r="E222" s="28">
        <f>F222</f>
        <v>17.0656</v>
      </c>
      <c r="F222" s="28">
        <f>ROUND(17.0656,4)</f>
        <v>17.0656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42976</v>
      </c>
      <c r="B224" s="23"/>
      <c r="C224" s="28">
        <f aca="true" t="shared" si="3" ref="C224:C258">ROUND(13.0463,4)</f>
        <v>13.0463</v>
      </c>
      <c r="D224" s="28">
        <f aca="true" t="shared" si="4" ref="D224:D258">F224</f>
        <v>13.0484</v>
      </c>
      <c r="E224" s="28">
        <f aca="true" t="shared" si="5" ref="E224:E258">F224</f>
        <v>13.0484</v>
      </c>
      <c r="F224" s="28">
        <f>ROUND(13.0484,4)</f>
        <v>13.0484</v>
      </c>
      <c r="G224" s="25"/>
      <c r="H224" s="26"/>
    </row>
    <row r="225" spans="1:8" ht="12.75" customHeight="1">
      <c r="A225" s="23">
        <v>42977</v>
      </c>
      <c r="B225" s="23"/>
      <c r="C225" s="28">
        <f t="shared" si="3"/>
        <v>13.0463</v>
      </c>
      <c r="D225" s="28">
        <f t="shared" si="4"/>
        <v>13.0484</v>
      </c>
      <c r="E225" s="28">
        <f t="shared" si="5"/>
        <v>13.0484</v>
      </c>
      <c r="F225" s="28">
        <f>ROUND(13.0484,4)</f>
        <v>13.0484</v>
      </c>
      <c r="G225" s="25"/>
      <c r="H225" s="26"/>
    </row>
    <row r="226" spans="1:8" ht="12.75" customHeight="1">
      <c r="A226" s="23">
        <v>42978</v>
      </c>
      <c r="B226" s="23"/>
      <c r="C226" s="28">
        <f t="shared" si="3"/>
        <v>13.0463</v>
      </c>
      <c r="D226" s="28">
        <f t="shared" si="4"/>
        <v>13.0484</v>
      </c>
      <c r="E226" s="28">
        <f t="shared" si="5"/>
        <v>13.0484</v>
      </c>
      <c r="F226" s="28">
        <f>ROUND(13.0484,4)</f>
        <v>13.0484</v>
      </c>
      <c r="G226" s="25"/>
      <c r="H226" s="26"/>
    </row>
    <row r="227" spans="1:8" ht="12.75" customHeight="1">
      <c r="A227" s="23">
        <v>42979</v>
      </c>
      <c r="B227" s="23"/>
      <c r="C227" s="28">
        <f t="shared" si="3"/>
        <v>13.0463</v>
      </c>
      <c r="D227" s="28">
        <f t="shared" si="4"/>
        <v>13.0503</v>
      </c>
      <c r="E227" s="28">
        <f t="shared" si="5"/>
        <v>13.0503</v>
      </c>
      <c r="F227" s="28">
        <f>ROUND(13.0503,4)</f>
        <v>13.0503</v>
      </c>
      <c r="G227" s="25"/>
      <c r="H227" s="26"/>
    </row>
    <row r="228" spans="1:8" ht="12.75" customHeight="1">
      <c r="A228" s="23">
        <v>42983</v>
      </c>
      <c r="B228" s="23"/>
      <c r="C228" s="28">
        <f t="shared" si="3"/>
        <v>13.0463</v>
      </c>
      <c r="D228" s="28">
        <f t="shared" si="4"/>
        <v>13.0577</v>
      </c>
      <c r="E228" s="28">
        <f t="shared" si="5"/>
        <v>13.0577</v>
      </c>
      <c r="F228" s="28">
        <f>ROUND(13.0577,4)</f>
        <v>13.0577</v>
      </c>
      <c r="G228" s="25"/>
      <c r="H228" s="26"/>
    </row>
    <row r="229" spans="1:8" ht="12.75" customHeight="1">
      <c r="A229" s="23">
        <v>42985</v>
      </c>
      <c r="B229" s="23"/>
      <c r="C229" s="28">
        <f t="shared" si="3"/>
        <v>13.0463</v>
      </c>
      <c r="D229" s="28">
        <f t="shared" si="4"/>
        <v>13.0615</v>
      </c>
      <c r="E229" s="28">
        <f t="shared" si="5"/>
        <v>13.0615</v>
      </c>
      <c r="F229" s="28">
        <f>ROUND(13.0615,4)</f>
        <v>13.0615</v>
      </c>
      <c r="G229" s="25"/>
      <c r="H229" s="26"/>
    </row>
    <row r="230" spans="1:8" ht="12.75" customHeight="1">
      <c r="A230" s="23">
        <v>43004</v>
      </c>
      <c r="B230" s="23"/>
      <c r="C230" s="28">
        <f t="shared" si="3"/>
        <v>13.0463</v>
      </c>
      <c r="D230" s="28">
        <f t="shared" si="4"/>
        <v>13.1037</v>
      </c>
      <c r="E230" s="28">
        <f t="shared" si="5"/>
        <v>13.1037</v>
      </c>
      <c r="F230" s="28">
        <f>ROUND(13.1037,4)</f>
        <v>13.1037</v>
      </c>
      <c r="G230" s="25"/>
      <c r="H230" s="26"/>
    </row>
    <row r="231" spans="1:8" ht="12.75" customHeight="1">
      <c r="A231" s="23">
        <v>43005</v>
      </c>
      <c r="B231" s="23"/>
      <c r="C231" s="28">
        <f t="shared" si="3"/>
        <v>13.0463</v>
      </c>
      <c r="D231" s="28">
        <f t="shared" si="4"/>
        <v>13.1059</v>
      </c>
      <c r="E231" s="28">
        <f t="shared" si="5"/>
        <v>13.1059</v>
      </c>
      <c r="F231" s="28">
        <f>ROUND(13.1059,4)</f>
        <v>13.1059</v>
      </c>
      <c r="G231" s="25"/>
      <c r="H231" s="26"/>
    </row>
    <row r="232" spans="1:8" ht="12.75" customHeight="1">
      <c r="A232" s="23">
        <v>43006</v>
      </c>
      <c r="B232" s="23"/>
      <c r="C232" s="28">
        <f t="shared" si="3"/>
        <v>13.0463</v>
      </c>
      <c r="D232" s="28">
        <f t="shared" si="4"/>
        <v>13.1081</v>
      </c>
      <c r="E232" s="28">
        <f t="shared" si="5"/>
        <v>13.1081</v>
      </c>
      <c r="F232" s="28">
        <f>ROUND(13.1081,4)</f>
        <v>13.1081</v>
      </c>
      <c r="G232" s="25"/>
      <c r="H232" s="26"/>
    </row>
    <row r="233" spans="1:8" ht="12.75" customHeight="1">
      <c r="A233" s="23">
        <v>43007</v>
      </c>
      <c r="B233" s="23"/>
      <c r="C233" s="28">
        <f t="shared" si="3"/>
        <v>13.0463</v>
      </c>
      <c r="D233" s="28">
        <f t="shared" si="4"/>
        <v>13.1104</v>
      </c>
      <c r="E233" s="28">
        <f t="shared" si="5"/>
        <v>13.1104</v>
      </c>
      <c r="F233" s="28">
        <f>ROUND(13.1104,4)</f>
        <v>13.1104</v>
      </c>
      <c r="G233" s="25"/>
      <c r="H233" s="26"/>
    </row>
    <row r="234" spans="1:8" ht="12.75" customHeight="1">
      <c r="A234" s="23">
        <v>43021</v>
      </c>
      <c r="B234" s="23"/>
      <c r="C234" s="28">
        <f t="shared" si="3"/>
        <v>13.0463</v>
      </c>
      <c r="D234" s="28">
        <f t="shared" si="4"/>
        <v>13.1387</v>
      </c>
      <c r="E234" s="28">
        <f t="shared" si="5"/>
        <v>13.1387</v>
      </c>
      <c r="F234" s="28">
        <f>ROUND(13.1387,4)</f>
        <v>13.1387</v>
      </c>
      <c r="G234" s="25"/>
      <c r="H234" s="26"/>
    </row>
    <row r="235" spans="1:8" ht="12.75" customHeight="1">
      <c r="A235" s="23">
        <v>43031</v>
      </c>
      <c r="B235" s="23"/>
      <c r="C235" s="28">
        <f t="shared" si="3"/>
        <v>13.0463</v>
      </c>
      <c r="D235" s="28">
        <f t="shared" si="4"/>
        <v>13.159</v>
      </c>
      <c r="E235" s="28">
        <f t="shared" si="5"/>
        <v>13.159</v>
      </c>
      <c r="F235" s="28">
        <f>ROUND(13.159,4)</f>
        <v>13.159</v>
      </c>
      <c r="G235" s="25"/>
      <c r="H235" s="26"/>
    </row>
    <row r="236" spans="1:8" ht="12.75" customHeight="1">
      <c r="A236" s="23">
        <v>43035</v>
      </c>
      <c r="B236" s="23"/>
      <c r="C236" s="28">
        <f t="shared" si="3"/>
        <v>13.0463</v>
      </c>
      <c r="D236" s="28">
        <f t="shared" si="4"/>
        <v>13.1671</v>
      </c>
      <c r="E236" s="28">
        <f t="shared" si="5"/>
        <v>13.1671</v>
      </c>
      <c r="F236" s="28">
        <f>ROUND(13.1671,4)</f>
        <v>13.1671</v>
      </c>
      <c r="G236" s="25"/>
      <c r="H236" s="26"/>
    </row>
    <row r="237" spans="1:8" ht="12.75" customHeight="1">
      <c r="A237" s="23">
        <v>43048</v>
      </c>
      <c r="B237" s="23"/>
      <c r="C237" s="28">
        <f t="shared" si="3"/>
        <v>13.0463</v>
      </c>
      <c r="D237" s="28">
        <f t="shared" si="4"/>
        <v>13.1933</v>
      </c>
      <c r="E237" s="28">
        <f t="shared" si="5"/>
        <v>13.1933</v>
      </c>
      <c r="F237" s="28">
        <f>ROUND(13.1933,4)</f>
        <v>13.1933</v>
      </c>
      <c r="G237" s="25"/>
      <c r="H237" s="26"/>
    </row>
    <row r="238" spans="1:8" ht="12.75" customHeight="1">
      <c r="A238" s="23">
        <v>43052</v>
      </c>
      <c r="B238" s="23"/>
      <c r="C238" s="28">
        <f t="shared" si="3"/>
        <v>13.0463</v>
      </c>
      <c r="D238" s="28">
        <f t="shared" si="4"/>
        <v>13.2014</v>
      </c>
      <c r="E238" s="28">
        <f t="shared" si="5"/>
        <v>13.2014</v>
      </c>
      <c r="F238" s="28">
        <f>ROUND(13.2014,4)</f>
        <v>13.2014</v>
      </c>
      <c r="G238" s="25"/>
      <c r="H238" s="26"/>
    </row>
    <row r="239" spans="1:8" ht="12.75" customHeight="1">
      <c r="A239" s="23">
        <v>43067</v>
      </c>
      <c r="B239" s="23"/>
      <c r="C239" s="28">
        <f t="shared" si="3"/>
        <v>13.0463</v>
      </c>
      <c r="D239" s="28">
        <f t="shared" si="4"/>
        <v>13.2316</v>
      </c>
      <c r="E239" s="28">
        <f t="shared" si="5"/>
        <v>13.2316</v>
      </c>
      <c r="F239" s="28">
        <f>ROUND(13.2316,4)</f>
        <v>13.2316</v>
      </c>
      <c r="G239" s="25"/>
      <c r="H239" s="26"/>
    </row>
    <row r="240" spans="1:8" ht="12.75" customHeight="1">
      <c r="A240" s="23">
        <v>43069</v>
      </c>
      <c r="B240" s="23"/>
      <c r="C240" s="28">
        <f t="shared" si="3"/>
        <v>13.0463</v>
      </c>
      <c r="D240" s="28">
        <f t="shared" si="4"/>
        <v>13.2356</v>
      </c>
      <c r="E240" s="28">
        <f t="shared" si="5"/>
        <v>13.2356</v>
      </c>
      <c r="F240" s="28">
        <f>ROUND(13.2356,4)</f>
        <v>13.2356</v>
      </c>
      <c r="G240" s="25"/>
      <c r="H240" s="26"/>
    </row>
    <row r="241" spans="1:8" ht="12.75" customHeight="1">
      <c r="A241" s="23">
        <v>43084</v>
      </c>
      <c r="B241" s="23"/>
      <c r="C241" s="28">
        <f t="shared" si="3"/>
        <v>13.0463</v>
      </c>
      <c r="D241" s="28">
        <f t="shared" si="4"/>
        <v>13.2651</v>
      </c>
      <c r="E241" s="28">
        <f t="shared" si="5"/>
        <v>13.2651</v>
      </c>
      <c r="F241" s="28">
        <f>ROUND(13.2651,4)</f>
        <v>13.2651</v>
      </c>
      <c r="G241" s="25"/>
      <c r="H241" s="26"/>
    </row>
    <row r="242" spans="1:8" ht="12.75" customHeight="1">
      <c r="A242" s="23">
        <v>43091</v>
      </c>
      <c r="B242" s="23"/>
      <c r="C242" s="28">
        <f t="shared" si="3"/>
        <v>13.0463</v>
      </c>
      <c r="D242" s="28">
        <f t="shared" si="4"/>
        <v>13.2789</v>
      </c>
      <c r="E242" s="28">
        <f t="shared" si="5"/>
        <v>13.2789</v>
      </c>
      <c r="F242" s="28">
        <f>ROUND(13.2789,4)</f>
        <v>13.2789</v>
      </c>
      <c r="G242" s="25"/>
      <c r="H242" s="26"/>
    </row>
    <row r="243" spans="1:8" ht="12.75" customHeight="1">
      <c r="A243" s="23">
        <v>43096</v>
      </c>
      <c r="B243" s="23"/>
      <c r="C243" s="28">
        <f t="shared" si="3"/>
        <v>13.0463</v>
      </c>
      <c r="D243" s="28">
        <f t="shared" si="4"/>
        <v>13.2888</v>
      </c>
      <c r="E243" s="28">
        <f t="shared" si="5"/>
        <v>13.2888</v>
      </c>
      <c r="F243" s="28">
        <f>ROUND(13.2888,4)</f>
        <v>13.2888</v>
      </c>
      <c r="G243" s="25"/>
      <c r="H243" s="26"/>
    </row>
    <row r="244" spans="1:8" ht="12.75" customHeight="1">
      <c r="A244" s="23">
        <v>43102</v>
      </c>
      <c r="B244" s="23"/>
      <c r="C244" s="28">
        <f t="shared" si="3"/>
        <v>13.0463</v>
      </c>
      <c r="D244" s="28">
        <f t="shared" si="4"/>
        <v>13.3006</v>
      </c>
      <c r="E244" s="28">
        <f t="shared" si="5"/>
        <v>13.3006</v>
      </c>
      <c r="F244" s="28">
        <f>ROUND(13.3006,4)</f>
        <v>13.3006</v>
      </c>
      <c r="G244" s="25"/>
      <c r="H244" s="26"/>
    </row>
    <row r="245" spans="1:8" ht="12.75" customHeight="1">
      <c r="A245" s="23">
        <v>43109</v>
      </c>
      <c r="B245" s="23"/>
      <c r="C245" s="28">
        <f t="shared" si="3"/>
        <v>13.0463</v>
      </c>
      <c r="D245" s="28">
        <f t="shared" si="4"/>
        <v>13.3144</v>
      </c>
      <c r="E245" s="28">
        <f t="shared" si="5"/>
        <v>13.3144</v>
      </c>
      <c r="F245" s="28">
        <f>ROUND(13.3144,4)</f>
        <v>13.3144</v>
      </c>
      <c r="G245" s="25"/>
      <c r="H245" s="26"/>
    </row>
    <row r="246" spans="1:8" ht="12.75" customHeight="1">
      <c r="A246" s="23">
        <v>43131</v>
      </c>
      <c r="B246" s="23"/>
      <c r="C246" s="28">
        <f t="shared" si="3"/>
        <v>13.0463</v>
      </c>
      <c r="D246" s="28">
        <f t="shared" si="4"/>
        <v>13.3577</v>
      </c>
      <c r="E246" s="28">
        <f t="shared" si="5"/>
        <v>13.3577</v>
      </c>
      <c r="F246" s="28">
        <f>ROUND(13.3577,4)</f>
        <v>13.3577</v>
      </c>
      <c r="G246" s="25"/>
      <c r="H246" s="26"/>
    </row>
    <row r="247" spans="1:8" ht="12.75" customHeight="1">
      <c r="A247" s="23">
        <v>43132</v>
      </c>
      <c r="B247" s="23"/>
      <c r="C247" s="28">
        <f t="shared" si="3"/>
        <v>13.0463</v>
      </c>
      <c r="D247" s="28">
        <f t="shared" si="4"/>
        <v>13.3597</v>
      </c>
      <c r="E247" s="28">
        <f t="shared" si="5"/>
        <v>13.3597</v>
      </c>
      <c r="F247" s="28">
        <f>ROUND(13.3597,4)</f>
        <v>13.3597</v>
      </c>
      <c r="G247" s="25"/>
      <c r="H247" s="26"/>
    </row>
    <row r="248" spans="1:8" ht="12.75" customHeight="1">
      <c r="A248" s="23">
        <v>43144</v>
      </c>
      <c r="B248" s="23"/>
      <c r="C248" s="28">
        <f t="shared" si="3"/>
        <v>13.0463</v>
      </c>
      <c r="D248" s="28">
        <f t="shared" si="4"/>
        <v>13.3833</v>
      </c>
      <c r="E248" s="28">
        <f t="shared" si="5"/>
        <v>13.3833</v>
      </c>
      <c r="F248" s="28">
        <f>ROUND(13.3833,4)</f>
        <v>13.3833</v>
      </c>
      <c r="G248" s="25"/>
      <c r="H248" s="26"/>
    </row>
    <row r="249" spans="1:8" ht="12.75" customHeight="1">
      <c r="A249" s="23">
        <v>43146</v>
      </c>
      <c r="B249" s="23"/>
      <c r="C249" s="28">
        <f t="shared" si="3"/>
        <v>13.0463</v>
      </c>
      <c r="D249" s="28">
        <f t="shared" si="4"/>
        <v>13.3873</v>
      </c>
      <c r="E249" s="28">
        <f t="shared" si="5"/>
        <v>13.3873</v>
      </c>
      <c r="F249" s="28">
        <f>ROUND(13.3873,4)</f>
        <v>13.3873</v>
      </c>
      <c r="G249" s="25"/>
      <c r="H249" s="26"/>
    </row>
    <row r="250" spans="1:8" ht="12.75" customHeight="1">
      <c r="A250" s="23">
        <v>43215</v>
      </c>
      <c r="B250" s="23"/>
      <c r="C250" s="28">
        <f t="shared" si="3"/>
        <v>13.0463</v>
      </c>
      <c r="D250" s="28">
        <f t="shared" si="4"/>
        <v>13.5229</v>
      </c>
      <c r="E250" s="28">
        <f t="shared" si="5"/>
        <v>13.5229</v>
      </c>
      <c r="F250" s="28">
        <f>ROUND(13.5229,4)</f>
        <v>13.5229</v>
      </c>
      <c r="G250" s="25"/>
      <c r="H250" s="26"/>
    </row>
    <row r="251" spans="1:8" ht="12.75" customHeight="1">
      <c r="A251" s="23">
        <v>43231</v>
      </c>
      <c r="B251" s="23"/>
      <c r="C251" s="28">
        <f t="shared" si="3"/>
        <v>13.0463</v>
      </c>
      <c r="D251" s="28">
        <f t="shared" si="4"/>
        <v>13.5543</v>
      </c>
      <c r="E251" s="28">
        <f t="shared" si="5"/>
        <v>13.5543</v>
      </c>
      <c r="F251" s="28">
        <f>ROUND(13.5543,4)</f>
        <v>13.5543</v>
      </c>
      <c r="G251" s="25"/>
      <c r="H251" s="26"/>
    </row>
    <row r="252" spans="1:8" ht="12.75" customHeight="1">
      <c r="A252" s="23">
        <v>43235</v>
      </c>
      <c r="B252" s="23"/>
      <c r="C252" s="28">
        <f t="shared" si="3"/>
        <v>13.0463</v>
      </c>
      <c r="D252" s="28">
        <f t="shared" si="4"/>
        <v>13.5622</v>
      </c>
      <c r="E252" s="28">
        <f t="shared" si="5"/>
        <v>13.5622</v>
      </c>
      <c r="F252" s="28">
        <f>ROUND(13.5622,4)</f>
        <v>13.5622</v>
      </c>
      <c r="G252" s="25"/>
      <c r="H252" s="26"/>
    </row>
    <row r="253" spans="1:8" ht="12.75" customHeight="1">
      <c r="A253" s="23">
        <v>43283</v>
      </c>
      <c r="B253" s="23"/>
      <c r="C253" s="28">
        <f t="shared" si="3"/>
        <v>13.0463</v>
      </c>
      <c r="D253" s="28">
        <f t="shared" si="4"/>
        <v>13.6549</v>
      </c>
      <c r="E253" s="28">
        <f t="shared" si="5"/>
        <v>13.6549</v>
      </c>
      <c r="F253" s="28">
        <f>ROUND(13.6549,4)</f>
        <v>13.6549</v>
      </c>
      <c r="G253" s="25"/>
      <c r="H253" s="26"/>
    </row>
    <row r="254" spans="1:8" ht="12.75" customHeight="1">
      <c r="A254" s="23">
        <v>43301</v>
      </c>
      <c r="B254" s="23"/>
      <c r="C254" s="28">
        <f t="shared" si="3"/>
        <v>13.0463</v>
      </c>
      <c r="D254" s="28">
        <f t="shared" si="4"/>
        <v>13.6894</v>
      </c>
      <c r="E254" s="28">
        <f t="shared" si="5"/>
        <v>13.6894</v>
      </c>
      <c r="F254" s="28">
        <f>ROUND(13.6894,4)</f>
        <v>13.6894</v>
      </c>
      <c r="G254" s="25"/>
      <c r="H254" s="26"/>
    </row>
    <row r="255" spans="1:8" ht="12.75" customHeight="1">
      <c r="A255" s="23">
        <v>43325</v>
      </c>
      <c r="B255" s="23"/>
      <c r="C255" s="28">
        <f t="shared" si="3"/>
        <v>13.0463</v>
      </c>
      <c r="D255" s="28">
        <f t="shared" si="4"/>
        <v>13.7353</v>
      </c>
      <c r="E255" s="28">
        <f t="shared" si="5"/>
        <v>13.7353</v>
      </c>
      <c r="F255" s="28">
        <f>ROUND(13.7353,4)</f>
        <v>13.7353</v>
      </c>
      <c r="G255" s="25"/>
      <c r="H255" s="26"/>
    </row>
    <row r="256" spans="1:8" ht="12.75" customHeight="1">
      <c r="A256" s="23">
        <v>43417</v>
      </c>
      <c r="B256" s="23"/>
      <c r="C256" s="28">
        <f t="shared" si="3"/>
        <v>13.0463</v>
      </c>
      <c r="D256" s="28">
        <f t="shared" si="4"/>
        <v>13.9224</v>
      </c>
      <c r="E256" s="28">
        <f t="shared" si="5"/>
        <v>13.9224</v>
      </c>
      <c r="F256" s="28">
        <f>ROUND(13.9224,4)</f>
        <v>13.9224</v>
      </c>
      <c r="G256" s="25"/>
      <c r="H256" s="26"/>
    </row>
    <row r="257" spans="1:8" ht="12.75" customHeight="1">
      <c r="A257" s="23">
        <v>43509</v>
      </c>
      <c r="B257" s="23"/>
      <c r="C257" s="28">
        <f t="shared" si="3"/>
        <v>13.0463</v>
      </c>
      <c r="D257" s="28">
        <f t="shared" si="4"/>
        <v>14.1119</v>
      </c>
      <c r="E257" s="28">
        <f t="shared" si="5"/>
        <v>14.1119</v>
      </c>
      <c r="F257" s="28">
        <f>ROUND(14.1119,4)</f>
        <v>14.1119</v>
      </c>
      <c r="G257" s="25"/>
      <c r="H257" s="26"/>
    </row>
    <row r="258" spans="1:8" ht="12.75" customHeight="1">
      <c r="A258" s="23">
        <v>44040</v>
      </c>
      <c r="B258" s="23"/>
      <c r="C258" s="28">
        <f t="shared" si="3"/>
        <v>13.0463</v>
      </c>
      <c r="D258" s="28">
        <f t="shared" si="4"/>
        <v>15.3246</v>
      </c>
      <c r="E258" s="28">
        <f t="shared" si="5"/>
        <v>15.3246</v>
      </c>
      <c r="F258" s="28">
        <f>ROUND(15.3246,4)</f>
        <v>15.3246</v>
      </c>
      <c r="G258" s="25"/>
      <c r="H258" s="26"/>
    </row>
    <row r="259" spans="1:8" ht="12.75" customHeight="1">
      <c r="A259" s="23" t="s">
        <v>63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42996</v>
      </c>
      <c r="B260" s="23"/>
      <c r="C260" s="28">
        <f>ROUND(1.19515,4)</f>
        <v>1.1952</v>
      </c>
      <c r="D260" s="28">
        <f>F260</f>
        <v>1.1962</v>
      </c>
      <c r="E260" s="28">
        <f>F260</f>
        <v>1.1962</v>
      </c>
      <c r="F260" s="28">
        <f>ROUND(1.1962,4)</f>
        <v>1.1962</v>
      </c>
      <c r="G260" s="25"/>
      <c r="H260" s="26"/>
    </row>
    <row r="261" spans="1:8" ht="12.75" customHeight="1">
      <c r="A261" s="23">
        <v>43087</v>
      </c>
      <c r="B261" s="23"/>
      <c r="C261" s="28">
        <f>ROUND(1.19515,4)</f>
        <v>1.1952</v>
      </c>
      <c r="D261" s="28">
        <f>F261</f>
        <v>1.2022</v>
      </c>
      <c r="E261" s="28">
        <f>F261</f>
        <v>1.2022</v>
      </c>
      <c r="F261" s="28">
        <f>ROUND(1.2022,4)</f>
        <v>1.2022</v>
      </c>
      <c r="G261" s="25"/>
      <c r="H261" s="26"/>
    </row>
    <row r="262" spans="1:8" ht="12.75" customHeight="1">
      <c r="A262" s="23">
        <v>43178</v>
      </c>
      <c r="B262" s="23"/>
      <c r="C262" s="28">
        <f>ROUND(1.19515,4)</f>
        <v>1.1952</v>
      </c>
      <c r="D262" s="28">
        <f>F262</f>
        <v>1.2087</v>
      </c>
      <c r="E262" s="28">
        <f>F262</f>
        <v>1.2087</v>
      </c>
      <c r="F262" s="28">
        <f>ROUND(1.2087,4)</f>
        <v>1.2087</v>
      </c>
      <c r="G262" s="25"/>
      <c r="H262" s="26"/>
    </row>
    <row r="263" spans="1:8" ht="12.75" customHeight="1">
      <c r="A263" s="23">
        <v>43269</v>
      </c>
      <c r="B263" s="23"/>
      <c r="C263" s="28">
        <f>ROUND(1.19515,4)</f>
        <v>1.1952</v>
      </c>
      <c r="D263" s="28">
        <f>F263</f>
        <v>1.2151</v>
      </c>
      <c r="E263" s="28">
        <f>F263</f>
        <v>1.2151</v>
      </c>
      <c r="F263" s="28">
        <f>ROUND(1.2151,4)</f>
        <v>1.2151</v>
      </c>
      <c r="G263" s="25"/>
      <c r="H263" s="26"/>
    </row>
    <row r="264" spans="1:8" ht="12.75" customHeight="1">
      <c r="A264" s="23" t="s">
        <v>64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42996</v>
      </c>
      <c r="B265" s="23"/>
      <c r="C265" s="28">
        <f>ROUND(1.29256666666667,4)</f>
        <v>1.2926</v>
      </c>
      <c r="D265" s="28">
        <f>F265</f>
        <v>1.2933</v>
      </c>
      <c r="E265" s="28">
        <f>F265</f>
        <v>1.2933</v>
      </c>
      <c r="F265" s="28">
        <f>ROUND(1.2933,4)</f>
        <v>1.2933</v>
      </c>
      <c r="G265" s="25"/>
      <c r="H265" s="26"/>
    </row>
    <row r="266" spans="1:8" ht="12.75" customHeight="1">
      <c r="A266" s="23">
        <v>43087</v>
      </c>
      <c r="B266" s="23"/>
      <c r="C266" s="28">
        <f>ROUND(1.29256666666667,4)</f>
        <v>1.2926</v>
      </c>
      <c r="D266" s="28">
        <f>F266</f>
        <v>1.2972</v>
      </c>
      <c r="E266" s="28">
        <f>F266</f>
        <v>1.2972</v>
      </c>
      <c r="F266" s="28">
        <f>ROUND(1.2972,4)</f>
        <v>1.2972</v>
      </c>
      <c r="G266" s="25"/>
      <c r="H266" s="26"/>
    </row>
    <row r="267" spans="1:8" ht="12.75" customHeight="1">
      <c r="A267" s="23">
        <v>43178</v>
      </c>
      <c r="B267" s="23"/>
      <c r="C267" s="28">
        <f>ROUND(1.29256666666667,4)</f>
        <v>1.2926</v>
      </c>
      <c r="D267" s="28">
        <f>F267</f>
        <v>1.3013</v>
      </c>
      <c r="E267" s="28">
        <f>F267</f>
        <v>1.3013</v>
      </c>
      <c r="F267" s="28">
        <f>ROUND(1.3013,4)</f>
        <v>1.3013</v>
      </c>
      <c r="G267" s="25"/>
      <c r="H267" s="26"/>
    </row>
    <row r="268" spans="1:8" ht="12.75" customHeight="1">
      <c r="A268" s="23">
        <v>43269</v>
      </c>
      <c r="B268" s="23"/>
      <c r="C268" s="28">
        <f>ROUND(1.29256666666667,4)</f>
        <v>1.2926</v>
      </c>
      <c r="D268" s="28">
        <f>F268</f>
        <v>1.3053</v>
      </c>
      <c r="E268" s="28">
        <f>F268</f>
        <v>1.3053</v>
      </c>
      <c r="F268" s="28">
        <f>ROUND(1.3053,4)</f>
        <v>1.3053</v>
      </c>
      <c r="G268" s="25"/>
      <c r="H268" s="26"/>
    </row>
    <row r="269" spans="1:8" ht="12.75" customHeight="1">
      <c r="A269" s="23" t="s">
        <v>65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42996</v>
      </c>
      <c r="B270" s="23"/>
      <c r="C270" s="28">
        <f aca="true" t="shared" si="6" ref="C270:C277">ROUND(10.36658998,4)</f>
        <v>10.3666</v>
      </c>
      <c r="D270" s="28">
        <f aca="true" t="shared" si="7" ref="D270:D277">F270</f>
        <v>10.396</v>
      </c>
      <c r="E270" s="28">
        <f aca="true" t="shared" si="8" ref="E270:E277">F270</f>
        <v>10.396</v>
      </c>
      <c r="F270" s="28">
        <f>ROUND(10.396,4)</f>
        <v>10.396</v>
      </c>
      <c r="G270" s="25"/>
      <c r="H270" s="26"/>
    </row>
    <row r="271" spans="1:8" ht="12.75" customHeight="1">
      <c r="A271" s="23">
        <v>43087</v>
      </c>
      <c r="B271" s="23"/>
      <c r="C271" s="28">
        <f t="shared" si="6"/>
        <v>10.3666</v>
      </c>
      <c r="D271" s="28">
        <f t="shared" si="7"/>
        <v>10.5305</v>
      </c>
      <c r="E271" s="28">
        <f t="shared" si="8"/>
        <v>10.5305</v>
      </c>
      <c r="F271" s="28">
        <f>ROUND(10.5305,4)</f>
        <v>10.5305</v>
      </c>
      <c r="G271" s="25"/>
      <c r="H271" s="26"/>
    </row>
    <row r="272" spans="1:8" ht="12.75" customHeight="1">
      <c r="A272" s="23">
        <v>43178</v>
      </c>
      <c r="B272" s="23"/>
      <c r="C272" s="28">
        <f t="shared" si="6"/>
        <v>10.3666</v>
      </c>
      <c r="D272" s="28">
        <f t="shared" si="7"/>
        <v>10.6604</v>
      </c>
      <c r="E272" s="28">
        <f t="shared" si="8"/>
        <v>10.6604</v>
      </c>
      <c r="F272" s="28">
        <f>ROUND(10.6604,4)</f>
        <v>10.6604</v>
      </c>
      <c r="G272" s="25"/>
      <c r="H272" s="26"/>
    </row>
    <row r="273" spans="1:8" ht="12.75" customHeight="1">
      <c r="A273" s="23">
        <v>43269</v>
      </c>
      <c r="B273" s="23"/>
      <c r="C273" s="28">
        <f t="shared" si="6"/>
        <v>10.3666</v>
      </c>
      <c r="D273" s="28">
        <f t="shared" si="7"/>
        <v>10.788</v>
      </c>
      <c r="E273" s="28">
        <f t="shared" si="8"/>
        <v>10.788</v>
      </c>
      <c r="F273" s="28">
        <f>ROUND(10.788,4)</f>
        <v>10.788</v>
      </c>
      <c r="G273" s="25"/>
      <c r="H273" s="26"/>
    </row>
    <row r="274" spans="1:8" ht="12.75" customHeight="1">
      <c r="A274" s="23">
        <v>43360</v>
      </c>
      <c r="B274" s="23"/>
      <c r="C274" s="28">
        <f t="shared" si="6"/>
        <v>10.3666</v>
      </c>
      <c r="D274" s="28">
        <f t="shared" si="7"/>
        <v>10.913</v>
      </c>
      <c r="E274" s="28">
        <f t="shared" si="8"/>
        <v>10.913</v>
      </c>
      <c r="F274" s="28">
        <f>ROUND(10.913,4)</f>
        <v>10.913</v>
      </c>
      <c r="G274" s="25"/>
      <c r="H274" s="26"/>
    </row>
    <row r="275" spans="1:8" ht="12.75" customHeight="1">
      <c r="A275" s="23">
        <v>43448</v>
      </c>
      <c r="B275" s="23"/>
      <c r="C275" s="28">
        <f t="shared" si="6"/>
        <v>10.3666</v>
      </c>
      <c r="D275" s="28">
        <f t="shared" si="7"/>
        <v>11.0413</v>
      </c>
      <c r="E275" s="28">
        <f t="shared" si="8"/>
        <v>11.0413</v>
      </c>
      <c r="F275" s="28">
        <f>ROUND(11.0413,4)</f>
        <v>11.0413</v>
      </c>
      <c r="G275" s="25"/>
      <c r="H275" s="26"/>
    </row>
    <row r="276" spans="1:8" ht="12.75" customHeight="1">
      <c r="A276" s="23">
        <v>43542</v>
      </c>
      <c r="B276" s="23"/>
      <c r="C276" s="28">
        <f t="shared" si="6"/>
        <v>10.3666</v>
      </c>
      <c r="D276" s="28">
        <f t="shared" si="7"/>
        <v>11.1764</v>
      </c>
      <c r="E276" s="28">
        <f t="shared" si="8"/>
        <v>11.1764</v>
      </c>
      <c r="F276" s="28">
        <f>ROUND(11.1764,4)</f>
        <v>11.1764</v>
      </c>
      <c r="G276" s="25"/>
      <c r="H276" s="26"/>
    </row>
    <row r="277" spans="1:8" ht="12.75" customHeight="1">
      <c r="A277" s="23">
        <v>43630</v>
      </c>
      <c r="B277" s="23"/>
      <c r="C277" s="28">
        <f t="shared" si="6"/>
        <v>10.3666</v>
      </c>
      <c r="D277" s="28">
        <f t="shared" si="7"/>
        <v>11.3001</v>
      </c>
      <c r="E277" s="28">
        <f t="shared" si="8"/>
        <v>11.3001</v>
      </c>
      <c r="F277" s="28">
        <f>ROUND(11.3001,4)</f>
        <v>11.3001</v>
      </c>
      <c r="G277" s="25"/>
      <c r="H277" s="26"/>
    </row>
    <row r="278" spans="1:8" ht="12.75" customHeight="1">
      <c r="A278" s="23" t="s">
        <v>66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42996</v>
      </c>
      <c r="B279" s="23"/>
      <c r="C279" s="28">
        <f>ROUND(3.55204334449618,4)</f>
        <v>3.552</v>
      </c>
      <c r="D279" s="28">
        <f>F279</f>
        <v>3.8607</v>
      </c>
      <c r="E279" s="28">
        <f>F279</f>
        <v>3.8607</v>
      </c>
      <c r="F279" s="28">
        <f>ROUND(3.8607,4)</f>
        <v>3.8607</v>
      </c>
      <c r="G279" s="25"/>
      <c r="H279" s="26"/>
    </row>
    <row r="280" spans="1:8" ht="12.75" customHeight="1">
      <c r="A280" s="23">
        <v>43087</v>
      </c>
      <c r="B280" s="23"/>
      <c r="C280" s="28">
        <f>ROUND(3.55204334449618,4)</f>
        <v>3.552</v>
      </c>
      <c r="D280" s="28">
        <f>F280</f>
        <v>3.91</v>
      </c>
      <c r="E280" s="28">
        <f>F280</f>
        <v>3.91</v>
      </c>
      <c r="F280" s="28">
        <f>ROUND(3.91,4)</f>
        <v>3.91</v>
      </c>
      <c r="G280" s="25"/>
      <c r="H280" s="26"/>
    </row>
    <row r="281" spans="1:8" ht="12.75" customHeight="1">
      <c r="A281" s="23">
        <v>43178</v>
      </c>
      <c r="B281" s="23"/>
      <c r="C281" s="28">
        <f>ROUND(3.55204334449618,4)</f>
        <v>3.552</v>
      </c>
      <c r="D281" s="28">
        <f>F281</f>
        <v>3.9644</v>
      </c>
      <c r="E281" s="28">
        <f>F281</f>
        <v>3.9644</v>
      </c>
      <c r="F281" s="28">
        <f>ROUND(3.9644,4)</f>
        <v>3.9644</v>
      </c>
      <c r="G281" s="25"/>
      <c r="H281" s="26"/>
    </row>
    <row r="282" spans="1:8" ht="12.75" customHeight="1">
      <c r="A282" s="23" t="s">
        <v>67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42996</v>
      </c>
      <c r="B283" s="23"/>
      <c r="C283" s="28">
        <f>ROUND(1.28766981,4)</f>
        <v>1.2877</v>
      </c>
      <c r="D283" s="28">
        <f>F283</f>
        <v>1.2905</v>
      </c>
      <c r="E283" s="28">
        <f>F283</f>
        <v>1.2905</v>
      </c>
      <c r="F283" s="28">
        <f>ROUND(1.2905,4)</f>
        <v>1.2905</v>
      </c>
      <c r="G283" s="25"/>
      <c r="H283" s="26"/>
    </row>
    <row r="284" spans="1:8" ht="12.75" customHeight="1">
      <c r="A284" s="23">
        <v>43087</v>
      </c>
      <c r="B284" s="23"/>
      <c r="C284" s="28">
        <f>ROUND(1.28766981,4)</f>
        <v>1.2877</v>
      </c>
      <c r="D284" s="28">
        <f>F284</f>
        <v>1.3005</v>
      </c>
      <c r="E284" s="28">
        <f>F284</f>
        <v>1.3005</v>
      </c>
      <c r="F284" s="28">
        <f>ROUND(1.3005,4)</f>
        <v>1.3005</v>
      </c>
      <c r="G284" s="25"/>
      <c r="H284" s="26"/>
    </row>
    <row r="285" spans="1:8" ht="12.75" customHeight="1">
      <c r="A285" s="23">
        <v>43178</v>
      </c>
      <c r="B285" s="23"/>
      <c r="C285" s="28">
        <f>ROUND(1.28766981,4)</f>
        <v>1.2877</v>
      </c>
      <c r="D285" s="28">
        <f>F285</f>
        <v>1.3095</v>
      </c>
      <c r="E285" s="28">
        <f>F285</f>
        <v>1.3095</v>
      </c>
      <c r="F285" s="28">
        <f>ROUND(1.3095,4)</f>
        <v>1.3095</v>
      </c>
      <c r="G285" s="25"/>
      <c r="H285" s="26"/>
    </row>
    <row r="286" spans="1:8" ht="12.75" customHeight="1">
      <c r="A286" s="23">
        <v>43269</v>
      </c>
      <c r="B286" s="23"/>
      <c r="C286" s="28">
        <f>ROUND(1.28766981,4)</f>
        <v>1.2877</v>
      </c>
      <c r="D286" s="28">
        <f>F286</f>
        <v>1.3215</v>
      </c>
      <c r="E286" s="28">
        <f>F286</f>
        <v>1.3215</v>
      </c>
      <c r="F286" s="28">
        <f>ROUND(1.3215,4)</f>
        <v>1.3215</v>
      </c>
      <c r="G286" s="25"/>
      <c r="H286" s="26"/>
    </row>
    <row r="287" spans="1:8" ht="12.75" customHeight="1">
      <c r="A287" s="23">
        <v>43630</v>
      </c>
      <c r="B287" s="23"/>
      <c r="C287" s="28">
        <f>ROUND(1.28766981,4)</f>
        <v>1.2877</v>
      </c>
      <c r="D287" s="28">
        <f>F287</f>
        <v>1.3424</v>
      </c>
      <c r="E287" s="28">
        <f>F287</f>
        <v>1.3424</v>
      </c>
      <c r="F287" s="28">
        <f>ROUND(1.3424,4)</f>
        <v>1.3424</v>
      </c>
      <c r="G287" s="25"/>
      <c r="H287" s="26"/>
    </row>
    <row r="288" spans="1:8" ht="12.75" customHeight="1">
      <c r="A288" s="23" t="s">
        <v>68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42996</v>
      </c>
      <c r="B289" s="23"/>
      <c r="C289" s="28">
        <f>ROUND(10.4587942921276,4)</f>
        <v>10.4588</v>
      </c>
      <c r="D289" s="28">
        <f>F289</f>
        <v>10.4931</v>
      </c>
      <c r="E289" s="28">
        <f>F289</f>
        <v>10.4931</v>
      </c>
      <c r="F289" s="28">
        <f>ROUND(10.4931,4)</f>
        <v>10.4931</v>
      </c>
      <c r="G289" s="25"/>
      <c r="H289" s="26"/>
    </row>
    <row r="290" spans="1:8" ht="12.75" customHeight="1">
      <c r="A290" s="23">
        <v>43087</v>
      </c>
      <c r="B290" s="23"/>
      <c r="C290" s="28">
        <f>ROUND(10.4587942921276,4)</f>
        <v>10.4588</v>
      </c>
      <c r="D290" s="28">
        <f>F290</f>
        <v>10.6505</v>
      </c>
      <c r="E290" s="28">
        <f>F290</f>
        <v>10.6505</v>
      </c>
      <c r="F290" s="28">
        <f>ROUND(10.6505,4)</f>
        <v>10.6505</v>
      </c>
      <c r="G290" s="25"/>
      <c r="H290" s="26"/>
    </row>
    <row r="291" spans="1:8" ht="12.75" customHeight="1">
      <c r="A291" s="23">
        <v>43178</v>
      </c>
      <c r="B291" s="23"/>
      <c r="C291" s="28">
        <f>ROUND(10.4587942921276,4)</f>
        <v>10.4588</v>
      </c>
      <c r="D291" s="28">
        <f>F291</f>
        <v>10.8001</v>
      </c>
      <c r="E291" s="28">
        <f>F291</f>
        <v>10.8001</v>
      </c>
      <c r="F291" s="28">
        <f>ROUND(10.8001,4)</f>
        <v>10.8001</v>
      </c>
      <c r="G291" s="25"/>
      <c r="H291" s="26"/>
    </row>
    <row r="292" spans="1:8" ht="12.75" customHeight="1">
      <c r="A292" s="23">
        <v>43269</v>
      </c>
      <c r="B292" s="23"/>
      <c r="C292" s="28">
        <f>ROUND(10.4587942921276,4)</f>
        <v>10.4588</v>
      </c>
      <c r="D292" s="28">
        <f>F292</f>
        <v>10.8066</v>
      </c>
      <c r="E292" s="28">
        <f>F292</f>
        <v>10.8066</v>
      </c>
      <c r="F292" s="28">
        <v>10.8066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42996</v>
      </c>
      <c r="B294" s="23"/>
      <c r="C294" s="28">
        <f>ROUND(1.97705056731481,4)</f>
        <v>1.9771</v>
      </c>
      <c r="D294" s="28">
        <f>F294</f>
        <v>1.976</v>
      </c>
      <c r="E294" s="28">
        <f>F294</f>
        <v>1.976</v>
      </c>
      <c r="F294" s="28">
        <f>ROUND(1.976,4)</f>
        <v>1.976</v>
      </c>
      <c r="G294" s="25"/>
      <c r="H294" s="26"/>
    </row>
    <row r="295" spans="1:8" ht="12.75" customHeight="1">
      <c r="A295" s="23">
        <v>43087</v>
      </c>
      <c r="B295" s="23"/>
      <c r="C295" s="28">
        <f>ROUND(1.97705056731481,4)</f>
        <v>1.9771</v>
      </c>
      <c r="D295" s="28">
        <f>F295</f>
        <v>1.9939</v>
      </c>
      <c r="E295" s="28">
        <f>F295</f>
        <v>1.9939</v>
      </c>
      <c r="F295" s="28">
        <f>ROUND(1.9939,4)</f>
        <v>1.9939</v>
      </c>
      <c r="G295" s="25"/>
      <c r="H295" s="26"/>
    </row>
    <row r="296" spans="1:8" ht="12.75" customHeight="1">
      <c r="A296" s="23">
        <v>43178</v>
      </c>
      <c r="B296" s="23"/>
      <c r="C296" s="28">
        <f>ROUND(1.97705056731481,4)</f>
        <v>1.9771</v>
      </c>
      <c r="D296" s="28">
        <f>F296</f>
        <v>2.0088</v>
      </c>
      <c r="E296" s="28">
        <f>F296</f>
        <v>2.0088</v>
      </c>
      <c r="F296" s="28">
        <f>ROUND(2.0088,4)</f>
        <v>2.0088</v>
      </c>
      <c r="G296" s="25"/>
      <c r="H296" s="26"/>
    </row>
    <row r="297" spans="1:8" ht="12.75" customHeight="1">
      <c r="A297" s="23">
        <v>43269</v>
      </c>
      <c r="B297" s="23"/>
      <c r="C297" s="28">
        <f>ROUND(1.97705056731481,4)</f>
        <v>1.9771</v>
      </c>
      <c r="D297" s="28">
        <f>F297</f>
        <v>2.0233</v>
      </c>
      <c r="E297" s="28">
        <f>F297</f>
        <v>2.0233</v>
      </c>
      <c r="F297" s="28">
        <f>ROUND(2.0233,4)</f>
        <v>2.0233</v>
      </c>
      <c r="G297" s="25"/>
      <c r="H297" s="26"/>
    </row>
    <row r="298" spans="1:8" ht="12.75" customHeight="1">
      <c r="A298" s="23">
        <v>43630</v>
      </c>
      <c r="B298" s="23"/>
      <c r="C298" s="28">
        <f>ROUND(1.97705056731481,4)</f>
        <v>1.9771</v>
      </c>
      <c r="D298" s="28">
        <f>F298</f>
        <v>2.0036</v>
      </c>
      <c r="E298" s="28">
        <f>F298</f>
        <v>2.0036</v>
      </c>
      <c r="F298" s="28">
        <f>ROUND(2.0036,4)</f>
        <v>2.0036</v>
      </c>
      <c r="G298" s="25"/>
      <c r="H298" s="26"/>
    </row>
    <row r="299" spans="1:8" ht="12.75" customHeight="1">
      <c r="A299" s="23" t="s">
        <v>70</v>
      </c>
      <c r="B299" s="23"/>
      <c r="C299" s="27"/>
      <c r="D299" s="27"/>
      <c r="E299" s="27"/>
      <c r="F299" s="27"/>
      <c r="G299" s="25"/>
      <c r="H299" s="26"/>
    </row>
    <row r="300" spans="1:8" ht="12.75" customHeight="1">
      <c r="A300" s="23">
        <v>42996</v>
      </c>
      <c r="B300" s="23"/>
      <c r="C300" s="28">
        <f>ROUND(2.09697018403922,4)</f>
        <v>2.097</v>
      </c>
      <c r="D300" s="28">
        <f>F300</f>
        <v>2.1093</v>
      </c>
      <c r="E300" s="28">
        <f>F300</f>
        <v>2.1093</v>
      </c>
      <c r="F300" s="28">
        <f>ROUND(2.1093,4)</f>
        <v>2.1093</v>
      </c>
      <c r="G300" s="25"/>
      <c r="H300" s="26"/>
    </row>
    <row r="301" spans="1:8" ht="12.75" customHeight="1">
      <c r="A301" s="23">
        <v>43087</v>
      </c>
      <c r="B301" s="23"/>
      <c r="C301" s="28">
        <f>ROUND(2.09697018403922,4)</f>
        <v>2.097</v>
      </c>
      <c r="D301" s="28">
        <f>F301</f>
        <v>2.1508</v>
      </c>
      <c r="E301" s="28">
        <f>F301</f>
        <v>2.1508</v>
      </c>
      <c r="F301" s="28">
        <f>ROUND(2.1508,4)</f>
        <v>2.1508</v>
      </c>
      <c r="G301" s="25"/>
      <c r="H301" s="26"/>
    </row>
    <row r="302" spans="1:8" ht="12.75" customHeight="1">
      <c r="A302" s="23">
        <v>43178</v>
      </c>
      <c r="B302" s="23"/>
      <c r="C302" s="28">
        <f>ROUND(2.09697018403922,4)</f>
        <v>2.097</v>
      </c>
      <c r="D302" s="28">
        <f>F302</f>
        <v>2.1917</v>
      </c>
      <c r="E302" s="28">
        <f>F302</f>
        <v>2.1917</v>
      </c>
      <c r="F302" s="28">
        <f>ROUND(2.1917,4)</f>
        <v>2.1917</v>
      </c>
      <c r="G302" s="25"/>
      <c r="H302" s="26"/>
    </row>
    <row r="303" spans="1:8" ht="12.75" customHeight="1">
      <c r="A303" s="23">
        <v>43269</v>
      </c>
      <c r="B303" s="23"/>
      <c r="C303" s="28">
        <f>ROUND(2.09697018403922,4)</f>
        <v>2.097</v>
      </c>
      <c r="D303" s="28">
        <f>F303</f>
        <v>2.2338</v>
      </c>
      <c r="E303" s="28">
        <f>F303</f>
        <v>2.2338</v>
      </c>
      <c r="F303" s="28">
        <f>ROUND(2.2338,4)</f>
        <v>2.2338</v>
      </c>
      <c r="G303" s="25"/>
      <c r="H303" s="26"/>
    </row>
    <row r="304" spans="1:8" ht="12.75" customHeight="1">
      <c r="A304" s="23">
        <v>43630</v>
      </c>
      <c r="B304" s="23"/>
      <c r="C304" s="28">
        <f>ROUND(2.09697018403922,4)</f>
        <v>2.097</v>
      </c>
      <c r="D304" s="28">
        <f>F304</f>
        <v>2.4176</v>
      </c>
      <c r="E304" s="28">
        <f>F304</f>
        <v>2.4176</v>
      </c>
      <c r="F304" s="28">
        <f>ROUND(2.4176,4)</f>
        <v>2.4176</v>
      </c>
      <c r="G304" s="25"/>
      <c r="H304" s="26"/>
    </row>
    <row r="305" spans="1:8" ht="12.75" customHeight="1">
      <c r="A305" s="23" t="s">
        <v>71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42996</v>
      </c>
      <c r="B306" s="23"/>
      <c r="C306" s="28">
        <f aca="true" t="shared" si="9" ref="C306:C313">ROUND(15.592285445,4)</f>
        <v>15.5923</v>
      </c>
      <c r="D306" s="28">
        <f aca="true" t="shared" si="10" ref="D306:D313">F306</f>
        <v>15.6538</v>
      </c>
      <c r="E306" s="28">
        <f aca="true" t="shared" si="11" ref="E306:E313">F306</f>
        <v>15.6538</v>
      </c>
      <c r="F306" s="28">
        <f>ROUND(15.6538,4)</f>
        <v>15.6538</v>
      </c>
      <c r="G306" s="25"/>
      <c r="H306" s="26"/>
    </row>
    <row r="307" spans="1:8" ht="12.75" customHeight="1">
      <c r="A307" s="23">
        <v>43087</v>
      </c>
      <c r="B307" s="23"/>
      <c r="C307" s="28">
        <f t="shared" si="9"/>
        <v>15.5923</v>
      </c>
      <c r="D307" s="28">
        <f t="shared" si="10"/>
        <v>15.9541</v>
      </c>
      <c r="E307" s="28">
        <f t="shared" si="11"/>
        <v>15.9541</v>
      </c>
      <c r="F307" s="28">
        <f>ROUND(15.9541,4)</f>
        <v>15.9541</v>
      </c>
      <c r="G307" s="25"/>
      <c r="H307" s="26"/>
    </row>
    <row r="308" spans="1:8" ht="12.75" customHeight="1">
      <c r="A308" s="23">
        <v>43178</v>
      </c>
      <c r="B308" s="23"/>
      <c r="C308" s="28">
        <f t="shared" si="9"/>
        <v>15.5923</v>
      </c>
      <c r="D308" s="28">
        <f t="shared" si="10"/>
        <v>16.2566</v>
      </c>
      <c r="E308" s="28">
        <f t="shared" si="11"/>
        <v>16.2566</v>
      </c>
      <c r="F308" s="28">
        <f>ROUND(16.2566,4)</f>
        <v>16.2566</v>
      </c>
      <c r="G308" s="25"/>
      <c r="H308" s="26"/>
    </row>
    <row r="309" spans="1:8" ht="12.75" customHeight="1">
      <c r="A309" s="23">
        <v>43269</v>
      </c>
      <c r="B309" s="23"/>
      <c r="C309" s="28">
        <f t="shared" si="9"/>
        <v>15.5923</v>
      </c>
      <c r="D309" s="28">
        <f t="shared" si="10"/>
        <v>16.559</v>
      </c>
      <c r="E309" s="28">
        <f t="shared" si="11"/>
        <v>16.559</v>
      </c>
      <c r="F309" s="28">
        <f>ROUND(16.559,4)</f>
        <v>16.559</v>
      </c>
      <c r="G309" s="25"/>
      <c r="H309" s="26"/>
    </row>
    <row r="310" spans="1:8" ht="12.75" customHeight="1">
      <c r="A310" s="23">
        <v>43360</v>
      </c>
      <c r="B310" s="23"/>
      <c r="C310" s="28">
        <f t="shared" si="9"/>
        <v>15.5923</v>
      </c>
      <c r="D310" s="28">
        <f t="shared" si="10"/>
        <v>16.8558</v>
      </c>
      <c r="E310" s="28">
        <f t="shared" si="11"/>
        <v>16.8558</v>
      </c>
      <c r="F310" s="28">
        <f>ROUND(16.8558,4)</f>
        <v>16.8558</v>
      </c>
      <c r="G310" s="25"/>
      <c r="H310" s="26"/>
    </row>
    <row r="311" spans="1:8" ht="12.75" customHeight="1">
      <c r="A311" s="23">
        <v>43448</v>
      </c>
      <c r="B311" s="23"/>
      <c r="C311" s="28">
        <f t="shared" si="9"/>
        <v>15.5923</v>
      </c>
      <c r="D311" s="28">
        <f t="shared" si="10"/>
        <v>17.1372</v>
      </c>
      <c r="E311" s="28">
        <f t="shared" si="11"/>
        <v>17.1372</v>
      </c>
      <c r="F311" s="28">
        <f>ROUND(17.1372,4)</f>
        <v>17.1372</v>
      </c>
      <c r="G311" s="25"/>
      <c r="H311" s="26"/>
    </row>
    <row r="312" spans="1:8" ht="12.75" customHeight="1">
      <c r="A312" s="23">
        <v>43542</v>
      </c>
      <c r="B312" s="23"/>
      <c r="C312" s="28">
        <f t="shared" si="9"/>
        <v>15.5923</v>
      </c>
      <c r="D312" s="28">
        <f t="shared" si="10"/>
        <v>17.5215</v>
      </c>
      <c r="E312" s="28">
        <f t="shared" si="11"/>
        <v>17.5215</v>
      </c>
      <c r="F312" s="28">
        <f>ROUND(17.5215,4)</f>
        <v>17.5215</v>
      </c>
      <c r="G312" s="25"/>
      <c r="H312" s="26"/>
    </row>
    <row r="313" spans="1:8" ht="12.75" customHeight="1">
      <c r="A313" s="23">
        <v>43630</v>
      </c>
      <c r="B313" s="23"/>
      <c r="C313" s="28">
        <f t="shared" si="9"/>
        <v>15.5923</v>
      </c>
      <c r="D313" s="28">
        <f t="shared" si="10"/>
        <v>17.8851</v>
      </c>
      <c r="E313" s="28">
        <f t="shared" si="11"/>
        <v>17.8851</v>
      </c>
      <c r="F313" s="28">
        <f>ROUND(17.8851,4)</f>
        <v>17.8851</v>
      </c>
      <c r="G313" s="25"/>
      <c r="H313" s="26"/>
    </row>
    <row r="314" spans="1:8" ht="12.75" customHeight="1">
      <c r="A314" s="23" t="s">
        <v>72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42996</v>
      </c>
      <c r="B315" s="23"/>
      <c r="C315" s="28">
        <f aca="true" t="shared" si="12" ref="C315:C320">ROUND(13.6610471204188,4)</f>
        <v>13.661</v>
      </c>
      <c r="D315" s="28">
        <f aca="true" t="shared" si="13" ref="D315:D320">F315</f>
        <v>13.7181</v>
      </c>
      <c r="E315" s="28">
        <f aca="true" t="shared" si="14" ref="E315:E320">F315</f>
        <v>13.7181</v>
      </c>
      <c r="F315" s="28">
        <f>ROUND(13.7181,4)</f>
        <v>13.7181</v>
      </c>
      <c r="G315" s="25"/>
      <c r="H315" s="26"/>
    </row>
    <row r="316" spans="1:8" ht="12.75" customHeight="1">
      <c r="A316" s="23">
        <v>43087</v>
      </c>
      <c r="B316" s="23"/>
      <c r="C316" s="28">
        <f t="shared" si="12"/>
        <v>13.661</v>
      </c>
      <c r="D316" s="28">
        <f t="shared" si="13"/>
        <v>13.9958</v>
      </c>
      <c r="E316" s="28">
        <f t="shared" si="14"/>
        <v>13.9958</v>
      </c>
      <c r="F316" s="28">
        <f>ROUND(13.9958,4)</f>
        <v>13.9958</v>
      </c>
      <c r="G316" s="25"/>
      <c r="H316" s="26"/>
    </row>
    <row r="317" spans="1:8" ht="12.75" customHeight="1">
      <c r="A317" s="23">
        <v>43178</v>
      </c>
      <c r="B317" s="23"/>
      <c r="C317" s="28">
        <f t="shared" si="12"/>
        <v>13.661</v>
      </c>
      <c r="D317" s="28">
        <f t="shared" si="13"/>
        <v>14.2781</v>
      </c>
      <c r="E317" s="28">
        <f t="shared" si="14"/>
        <v>14.2781</v>
      </c>
      <c r="F317" s="28">
        <f>ROUND(14.2781,4)</f>
        <v>14.2781</v>
      </c>
      <c r="G317" s="25"/>
      <c r="H317" s="26"/>
    </row>
    <row r="318" spans="1:8" ht="12.75" customHeight="1">
      <c r="A318" s="23">
        <v>43269</v>
      </c>
      <c r="B318" s="23"/>
      <c r="C318" s="28">
        <f t="shared" si="12"/>
        <v>13.661</v>
      </c>
      <c r="D318" s="28">
        <f t="shared" si="13"/>
        <v>14.5577</v>
      </c>
      <c r="E318" s="28">
        <f t="shared" si="14"/>
        <v>14.5577</v>
      </c>
      <c r="F318" s="28">
        <f>ROUND(14.5577,4)</f>
        <v>14.5577</v>
      </c>
      <c r="G318" s="25"/>
      <c r="H318" s="26"/>
    </row>
    <row r="319" spans="1:8" ht="12.75" customHeight="1">
      <c r="A319" s="23">
        <v>43360</v>
      </c>
      <c r="B319" s="23"/>
      <c r="C319" s="28">
        <f t="shared" si="12"/>
        <v>13.661</v>
      </c>
      <c r="D319" s="28">
        <f t="shared" si="13"/>
        <v>14.8307</v>
      </c>
      <c r="E319" s="28">
        <f t="shared" si="14"/>
        <v>14.8307</v>
      </c>
      <c r="F319" s="28">
        <f>ROUND(14.8307,4)</f>
        <v>14.8307</v>
      </c>
      <c r="G319" s="25"/>
      <c r="H319" s="26"/>
    </row>
    <row r="320" spans="1:8" ht="12.75" customHeight="1">
      <c r="A320" s="23">
        <v>43630</v>
      </c>
      <c r="B320" s="23"/>
      <c r="C320" s="28">
        <f t="shared" si="12"/>
        <v>13.661</v>
      </c>
      <c r="D320" s="28">
        <f t="shared" si="13"/>
        <v>15.5674</v>
      </c>
      <c r="E320" s="28">
        <f t="shared" si="14"/>
        <v>15.5674</v>
      </c>
      <c r="F320" s="28">
        <f>ROUND(15.5674,4)</f>
        <v>15.5674</v>
      </c>
      <c r="G320" s="25"/>
      <c r="H320" s="26"/>
    </row>
    <row r="321" spans="1:8" ht="12.75" customHeight="1">
      <c r="A321" s="23" t="s">
        <v>73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42996</v>
      </c>
      <c r="B322" s="23"/>
      <c r="C322" s="28">
        <f aca="true" t="shared" si="15" ref="C322:C329">ROUND(16.8632125033333,4)</f>
        <v>16.8632</v>
      </c>
      <c r="D322" s="28">
        <f aca="true" t="shared" si="16" ref="D322:D329">F322</f>
        <v>16.9243</v>
      </c>
      <c r="E322" s="28">
        <f aca="true" t="shared" si="17" ref="E322:E329">F322</f>
        <v>16.9243</v>
      </c>
      <c r="F322" s="28">
        <f>ROUND(16.9243,4)</f>
        <v>16.9243</v>
      </c>
      <c r="G322" s="25"/>
      <c r="H322" s="26"/>
    </row>
    <row r="323" spans="1:8" ht="12.75" customHeight="1">
      <c r="A323" s="23">
        <v>43087</v>
      </c>
      <c r="B323" s="23"/>
      <c r="C323" s="28">
        <f t="shared" si="15"/>
        <v>16.8632</v>
      </c>
      <c r="D323" s="28">
        <f t="shared" si="16"/>
        <v>17.2155</v>
      </c>
      <c r="E323" s="28">
        <f t="shared" si="17"/>
        <v>17.2155</v>
      </c>
      <c r="F323" s="28">
        <f>ROUND(17.2155,4)</f>
        <v>17.2155</v>
      </c>
      <c r="G323" s="25"/>
      <c r="H323" s="26"/>
    </row>
    <row r="324" spans="1:8" ht="12.75" customHeight="1">
      <c r="A324" s="23">
        <v>43178</v>
      </c>
      <c r="B324" s="23"/>
      <c r="C324" s="28">
        <f t="shared" si="15"/>
        <v>16.8632</v>
      </c>
      <c r="D324" s="28">
        <f t="shared" si="16"/>
        <v>17.5033</v>
      </c>
      <c r="E324" s="28">
        <f t="shared" si="17"/>
        <v>17.5033</v>
      </c>
      <c r="F324" s="28">
        <f>ROUND(17.5033,4)</f>
        <v>17.5033</v>
      </c>
      <c r="G324" s="25"/>
      <c r="H324" s="26"/>
    </row>
    <row r="325" spans="1:8" ht="12.75" customHeight="1">
      <c r="A325" s="23">
        <v>43269</v>
      </c>
      <c r="B325" s="23"/>
      <c r="C325" s="28">
        <f t="shared" si="15"/>
        <v>16.8632</v>
      </c>
      <c r="D325" s="28">
        <f t="shared" si="16"/>
        <v>17.7884</v>
      </c>
      <c r="E325" s="28">
        <f t="shared" si="17"/>
        <v>17.7884</v>
      </c>
      <c r="F325" s="28">
        <f>ROUND(17.7884,4)</f>
        <v>17.7884</v>
      </c>
      <c r="G325" s="25"/>
      <c r="H325" s="26"/>
    </row>
    <row r="326" spans="1:8" ht="12.75" customHeight="1">
      <c r="A326" s="23">
        <v>43360</v>
      </c>
      <c r="B326" s="23"/>
      <c r="C326" s="28">
        <f t="shared" si="15"/>
        <v>16.8632</v>
      </c>
      <c r="D326" s="28">
        <f t="shared" si="16"/>
        <v>18.0736</v>
      </c>
      <c r="E326" s="28">
        <f t="shared" si="17"/>
        <v>18.0736</v>
      </c>
      <c r="F326" s="28">
        <f>ROUND(18.0736,4)</f>
        <v>18.0736</v>
      </c>
      <c r="G326" s="25"/>
      <c r="H326" s="26"/>
    </row>
    <row r="327" spans="1:8" ht="12.75" customHeight="1">
      <c r="A327" s="23">
        <v>43448</v>
      </c>
      <c r="B327" s="23"/>
      <c r="C327" s="28">
        <f t="shared" si="15"/>
        <v>16.8632</v>
      </c>
      <c r="D327" s="28">
        <f t="shared" si="16"/>
        <v>18.3646</v>
      </c>
      <c r="E327" s="28">
        <f t="shared" si="17"/>
        <v>18.3646</v>
      </c>
      <c r="F327" s="28">
        <f>ROUND(18.3646,4)</f>
        <v>18.3646</v>
      </c>
      <c r="G327" s="25"/>
      <c r="H327" s="26"/>
    </row>
    <row r="328" spans="1:8" ht="12.75" customHeight="1">
      <c r="A328" s="23">
        <v>43542</v>
      </c>
      <c r="B328" s="23"/>
      <c r="C328" s="28">
        <f t="shared" si="15"/>
        <v>16.8632</v>
      </c>
      <c r="D328" s="28">
        <f t="shared" si="16"/>
        <v>18.4221</v>
      </c>
      <c r="E328" s="28">
        <f t="shared" si="17"/>
        <v>18.4221</v>
      </c>
      <c r="F328" s="28">
        <f>ROUND(18.4221,4)</f>
        <v>18.4221</v>
      </c>
      <c r="G328" s="25"/>
      <c r="H328" s="26"/>
    </row>
    <row r="329" spans="1:8" ht="12.75" customHeight="1">
      <c r="A329" s="23">
        <v>43630</v>
      </c>
      <c r="B329" s="23"/>
      <c r="C329" s="28">
        <f t="shared" si="15"/>
        <v>16.8632</v>
      </c>
      <c r="D329" s="28">
        <f t="shared" si="16"/>
        <v>18.9719</v>
      </c>
      <c r="E329" s="28">
        <f t="shared" si="17"/>
        <v>18.9719</v>
      </c>
      <c r="F329" s="28">
        <f>ROUND(18.9719,4)</f>
        <v>18.9719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42996</v>
      </c>
      <c r="B331" s="23"/>
      <c r="C331" s="28">
        <f>ROUND(1.66763173872751,4)</f>
        <v>1.6676</v>
      </c>
      <c r="D331" s="28">
        <f>F331</f>
        <v>1.6736</v>
      </c>
      <c r="E331" s="28">
        <f>F331</f>
        <v>1.6736</v>
      </c>
      <c r="F331" s="28">
        <f>ROUND(1.6736,4)</f>
        <v>1.6736</v>
      </c>
      <c r="G331" s="25"/>
      <c r="H331" s="26"/>
    </row>
    <row r="332" spans="1:8" ht="12.75" customHeight="1">
      <c r="A332" s="23">
        <v>43087</v>
      </c>
      <c r="B332" s="23"/>
      <c r="C332" s="28">
        <f>ROUND(1.66763173872751,4)</f>
        <v>1.6676</v>
      </c>
      <c r="D332" s="28">
        <f>F332</f>
        <v>1.7013</v>
      </c>
      <c r="E332" s="28">
        <f>F332</f>
        <v>1.7013</v>
      </c>
      <c r="F332" s="28">
        <f>ROUND(1.7013,4)</f>
        <v>1.7013</v>
      </c>
      <c r="G332" s="25"/>
      <c r="H332" s="26"/>
    </row>
    <row r="333" spans="1:8" ht="12.75" customHeight="1">
      <c r="A333" s="23">
        <v>43178</v>
      </c>
      <c r="B333" s="23"/>
      <c r="C333" s="28">
        <f>ROUND(1.66763173872751,4)</f>
        <v>1.6676</v>
      </c>
      <c r="D333" s="28">
        <f>F333</f>
        <v>1.727</v>
      </c>
      <c r="E333" s="28">
        <f>F333</f>
        <v>1.727</v>
      </c>
      <c r="F333" s="28">
        <f>ROUND(1.727,4)</f>
        <v>1.727</v>
      </c>
      <c r="G333" s="25"/>
      <c r="H333" s="26"/>
    </row>
    <row r="334" spans="1:8" ht="12.75" customHeight="1">
      <c r="A334" s="23">
        <v>43269</v>
      </c>
      <c r="B334" s="23"/>
      <c r="C334" s="28">
        <f>ROUND(1.66763173872751,4)</f>
        <v>1.6676</v>
      </c>
      <c r="D334" s="28">
        <f>F334</f>
        <v>1.7515</v>
      </c>
      <c r="E334" s="28">
        <f>F334</f>
        <v>1.7515</v>
      </c>
      <c r="F334" s="28">
        <f>ROUND(1.7515,4)</f>
        <v>1.7515</v>
      </c>
      <c r="G334" s="25"/>
      <c r="H334" s="26"/>
    </row>
    <row r="335" spans="1:8" ht="12.75" customHeight="1">
      <c r="A335" s="23">
        <v>43630</v>
      </c>
      <c r="B335" s="23"/>
      <c r="C335" s="28">
        <f>ROUND(1.66763173872751,4)</f>
        <v>1.6676</v>
      </c>
      <c r="D335" s="28">
        <f>F335</f>
        <v>1.8505</v>
      </c>
      <c r="E335" s="28">
        <f>F335</f>
        <v>1.8505</v>
      </c>
      <c r="F335" s="28">
        <f>ROUND(1.8505,4)</f>
        <v>1.8505</v>
      </c>
      <c r="G335" s="25"/>
      <c r="H335" s="26"/>
    </row>
    <row r="336" spans="1:8" ht="12.75" customHeight="1">
      <c r="A336" s="23" t="s">
        <v>75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42996</v>
      </c>
      <c r="B337" s="23"/>
      <c r="C337" s="30">
        <f aca="true" t="shared" si="18" ref="C337:C342">ROUND(0.119396897545797,6)</f>
        <v>0.119397</v>
      </c>
      <c r="D337" s="30">
        <f aca="true" t="shared" si="19" ref="D337:D342">F337</f>
        <v>0.11985</v>
      </c>
      <c r="E337" s="30">
        <f aca="true" t="shared" si="20" ref="E337:E342">F337</f>
        <v>0.11985</v>
      </c>
      <c r="F337" s="30">
        <f>ROUND(0.11985,6)</f>
        <v>0.11985</v>
      </c>
      <c r="G337" s="25"/>
      <c r="H337" s="26"/>
    </row>
    <row r="338" spans="1:8" ht="12.75" customHeight="1">
      <c r="A338" s="23">
        <v>43087</v>
      </c>
      <c r="B338" s="23"/>
      <c r="C338" s="30">
        <f t="shared" si="18"/>
        <v>0.119397</v>
      </c>
      <c r="D338" s="30">
        <f t="shared" si="19"/>
        <v>0.12209</v>
      </c>
      <c r="E338" s="30">
        <f t="shared" si="20"/>
        <v>0.12209</v>
      </c>
      <c r="F338" s="30">
        <f>ROUND(0.12209,6)</f>
        <v>0.12209</v>
      </c>
      <c r="G338" s="25"/>
      <c r="H338" s="26"/>
    </row>
    <row r="339" spans="1:8" ht="12.75" customHeight="1">
      <c r="A339" s="23">
        <v>43178</v>
      </c>
      <c r="B339" s="23"/>
      <c r="C339" s="30">
        <f t="shared" si="18"/>
        <v>0.119397</v>
      </c>
      <c r="D339" s="30">
        <f t="shared" si="19"/>
        <v>0.124405</v>
      </c>
      <c r="E339" s="30">
        <f t="shared" si="20"/>
        <v>0.124405</v>
      </c>
      <c r="F339" s="30">
        <f>ROUND(0.124405,6)</f>
        <v>0.124405</v>
      </c>
      <c r="G339" s="25"/>
      <c r="H339" s="26"/>
    </row>
    <row r="340" spans="1:8" ht="12.75" customHeight="1">
      <c r="A340" s="23">
        <v>43269</v>
      </c>
      <c r="B340" s="23"/>
      <c r="C340" s="30">
        <f t="shared" si="18"/>
        <v>0.119397</v>
      </c>
      <c r="D340" s="30">
        <f t="shared" si="19"/>
        <v>0.126698</v>
      </c>
      <c r="E340" s="30">
        <f t="shared" si="20"/>
        <v>0.126698</v>
      </c>
      <c r="F340" s="30">
        <f>ROUND(0.126698,6)</f>
        <v>0.126698</v>
      </c>
      <c r="G340" s="25"/>
      <c r="H340" s="26"/>
    </row>
    <row r="341" spans="1:8" ht="12.75" customHeight="1">
      <c r="A341" s="23">
        <v>43360</v>
      </c>
      <c r="B341" s="23"/>
      <c r="C341" s="30">
        <f t="shared" si="18"/>
        <v>0.119397</v>
      </c>
      <c r="D341" s="30">
        <f t="shared" si="19"/>
        <v>0.129023</v>
      </c>
      <c r="E341" s="30">
        <f t="shared" si="20"/>
        <v>0.129023</v>
      </c>
      <c r="F341" s="30">
        <f>ROUND(0.129023,6)</f>
        <v>0.129023</v>
      </c>
      <c r="G341" s="25"/>
      <c r="H341" s="26"/>
    </row>
    <row r="342" spans="1:8" ht="12.75" customHeight="1">
      <c r="A342" s="23">
        <v>43630</v>
      </c>
      <c r="B342" s="23"/>
      <c r="C342" s="30">
        <f t="shared" si="18"/>
        <v>0.119397</v>
      </c>
      <c r="D342" s="30">
        <f t="shared" si="19"/>
        <v>0.135611</v>
      </c>
      <c r="E342" s="30">
        <f t="shared" si="20"/>
        <v>0.135611</v>
      </c>
      <c r="F342" s="30">
        <f>ROUND(0.135611,6)</f>
        <v>0.135611</v>
      </c>
      <c r="G342" s="25"/>
      <c r="H342" s="26"/>
    </row>
    <row r="343" spans="1:8" ht="12.75" customHeight="1">
      <c r="A343" s="23" t="s">
        <v>76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42996</v>
      </c>
      <c r="B344" s="23"/>
      <c r="C344" s="28">
        <f aca="true" t="shared" si="21" ref="C344:C349">ROUND(0.126498535885353,4)</f>
        <v>0.1265</v>
      </c>
      <c r="D344" s="28">
        <f aca="true" t="shared" si="22" ref="D344:D349">F344</f>
        <v>0.1264</v>
      </c>
      <c r="E344" s="28">
        <f aca="true" t="shared" si="23" ref="E344:E349">F344</f>
        <v>0.1264</v>
      </c>
      <c r="F344" s="28">
        <f>ROUND(0.1264,4)</f>
        <v>0.1264</v>
      </c>
      <c r="G344" s="25"/>
      <c r="H344" s="26"/>
    </row>
    <row r="345" spans="1:8" ht="12.75" customHeight="1">
      <c r="A345" s="23">
        <v>43087</v>
      </c>
      <c r="B345" s="23"/>
      <c r="C345" s="28">
        <f t="shared" si="21"/>
        <v>0.1265</v>
      </c>
      <c r="D345" s="28">
        <f t="shared" si="22"/>
        <v>0.1247</v>
      </c>
      <c r="E345" s="28">
        <f t="shared" si="23"/>
        <v>0.1247</v>
      </c>
      <c r="F345" s="28">
        <f>ROUND(0.1247,4)</f>
        <v>0.1247</v>
      </c>
      <c r="G345" s="25"/>
      <c r="H345" s="26"/>
    </row>
    <row r="346" spans="1:8" ht="12.75" customHeight="1">
      <c r="A346" s="23">
        <v>43178</v>
      </c>
      <c r="B346" s="23"/>
      <c r="C346" s="28">
        <f t="shared" si="21"/>
        <v>0.1265</v>
      </c>
      <c r="D346" s="28">
        <f t="shared" si="22"/>
        <v>0.1234</v>
      </c>
      <c r="E346" s="28">
        <f t="shared" si="23"/>
        <v>0.1234</v>
      </c>
      <c r="F346" s="28">
        <f>ROUND(0.1234,4)</f>
        <v>0.1234</v>
      </c>
      <c r="G346" s="25"/>
      <c r="H346" s="26"/>
    </row>
    <row r="347" spans="1:8" ht="12.75" customHeight="1">
      <c r="A347" s="23">
        <v>43269</v>
      </c>
      <c r="B347" s="23"/>
      <c r="C347" s="28">
        <f t="shared" si="21"/>
        <v>0.1265</v>
      </c>
      <c r="D347" s="28">
        <f t="shared" si="22"/>
        <v>0.1255</v>
      </c>
      <c r="E347" s="28">
        <f t="shared" si="23"/>
        <v>0.1255</v>
      </c>
      <c r="F347" s="28">
        <f>ROUND(0.1255,4)</f>
        <v>0.1255</v>
      </c>
      <c r="G347" s="25"/>
      <c r="H347" s="26"/>
    </row>
    <row r="348" spans="1:8" ht="12.75" customHeight="1">
      <c r="A348" s="23">
        <v>43360</v>
      </c>
      <c r="B348" s="23"/>
      <c r="C348" s="28">
        <f t="shared" si="21"/>
        <v>0.1265</v>
      </c>
      <c r="D348" s="28">
        <f t="shared" si="22"/>
        <v>0.1241</v>
      </c>
      <c r="E348" s="28">
        <f t="shared" si="23"/>
        <v>0.1241</v>
      </c>
      <c r="F348" s="28">
        <f>ROUND(0.1241,4)</f>
        <v>0.1241</v>
      </c>
      <c r="G348" s="25"/>
      <c r="H348" s="26"/>
    </row>
    <row r="349" spans="1:8" ht="12.75" customHeight="1">
      <c r="A349" s="23">
        <v>43630</v>
      </c>
      <c r="B349" s="23"/>
      <c r="C349" s="28">
        <f t="shared" si="21"/>
        <v>0.1265</v>
      </c>
      <c r="D349" s="28">
        <f t="shared" si="22"/>
        <v>0.1177</v>
      </c>
      <c r="E349" s="28">
        <f t="shared" si="23"/>
        <v>0.1177</v>
      </c>
      <c r="F349" s="28">
        <f>ROUND(0.1177,4)</f>
        <v>0.1177</v>
      </c>
      <c r="G349" s="25"/>
      <c r="H349" s="26"/>
    </row>
    <row r="350" spans="1:8" ht="12.75" customHeight="1">
      <c r="A350" s="23" t="s">
        <v>77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42996</v>
      </c>
      <c r="B351" s="23"/>
      <c r="C351" s="28">
        <f>ROUND(1.68094262559107,4)</f>
        <v>1.6809</v>
      </c>
      <c r="D351" s="28">
        <f>F351</f>
        <v>1.6878</v>
      </c>
      <c r="E351" s="28">
        <f>F351</f>
        <v>1.6878</v>
      </c>
      <c r="F351" s="28">
        <f>ROUND(1.6878,4)</f>
        <v>1.6878</v>
      </c>
      <c r="G351" s="25"/>
      <c r="H351" s="26"/>
    </row>
    <row r="352" spans="1:8" ht="12.75" customHeight="1">
      <c r="A352" s="23">
        <v>43087</v>
      </c>
      <c r="B352" s="23"/>
      <c r="C352" s="28">
        <f>ROUND(1.68094262559107,4)</f>
        <v>1.6809</v>
      </c>
      <c r="D352" s="28">
        <f>F352</f>
        <v>1.7152</v>
      </c>
      <c r="E352" s="28">
        <f>F352</f>
        <v>1.7152</v>
      </c>
      <c r="F352" s="28">
        <f>ROUND(1.7152,4)</f>
        <v>1.7152</v>
      </c>
      <c r="G352" s="25"/>
      <c r="H352" s="26"/>
    </row>
    <row r="353" spans="1:8" ht="12.75" customHeight="1">
      <c r="A353" s="23">
        <v>43178</v>
      </c>
      <c r="B353" s="23"/>
      <c r="C353" s="28">
        <f>ROUND(1.68094262559107,4)</f>
        <v>1.6809</v>
      </c>
      <c r="D353" s="28">
        <f>F353</f>
        <v>1.742</v>
      </c>
      <c r="E353" s="28">
        <f>F353</f>
        <v>1.742</v>
      </c>
      <c r="F353" s="28">
        <f>ROUND(1.742,4)</f>
        <v>1.742</v>
      </c>
      <c r="G353" s="25"/>
      <c r="H353" s="26"/>
    </row>
    <row r="354" spans="1:8" ht="12.75" customHeight="1">
      <c r="A354" s="23">
        <v>43269</v>
      </c>
      <c r="B354" s="23"/>
      <c r="C354" s="28">
        <f>ROUND(1.68094262559107,4)</f>
        <v>1.6809</v>
      </c>
      <c r="D354" s="28">
        <f>F354</f>
        <v>1.7685</v>
      </c>
      <c r="E354" s="28">
        <f>F354</f>
        <v>1.7685</v>
      </c>
      <c r="F354" s="28">
        <f>ROUND(1.7685,4)</f>
        <v>1.7685</v>
      </c>
      <c r="G354" s="25"/>
      <c r="H354" s="26"/>
    </row>
    <row r="355" spans="1:8" ht="12.75" customHeight="1">
      <c r="A355" s="23">
        <v>43630</v>
      </c>
      <c r="B355" s="23"/>
      <c r="C355" s="28">
        <f>ROUND(1.68094262559107,4)</f>
        <v>1.6809</v>
      </c>
      <c r="D355" s="28">
        <f>F355</f>
        <v>1.8798</v>
      </c>
      <c r="E355" s="28">
        <f>F355</f>
        <v>1.8798</v>
      </c>
      <c r="F355" s="28">
        <f>ROUND(1.8798,4)</f>
        <v>1.8798</v>
      </c>
      <c r="G355" s="25"/>
      <c r="H355" s="26"/>
    </row>
    <row r="356" spans="1:8" ht="12.75" customHeight="1">
      <c r="A356" s="23" t="s">
        <v>78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ROUND(0.0892261001517451,4)</f>
        <v>0.0892</v>
      </c>
      <c r="D357" s="28">
        <f>F357</f>
        <v>0.0383</v>
      </c>
      <c r="E357" s="28">
        <f>F357</f>
        <v>0.0383</v>
      </c>
      <c r="F357" s="28">
        <f>ROUND(0.0383,4)</f>
        <v>0.0383</v>
      </c>
      <c r="G357" s="25"/>
      <c r="H357" s="26"/>
    </row>
    <row r="358" spans="1:8" ht="12.75" customHeight="1">
      <c r="A358" s="23" t="s">
        <v>79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42996</v>
      </c>
      <c r="B359" s="23"/>
      <c r="C359" s="28">
        <f>ROUND(9.46117676,4)</f>
        <v>9.4612</v>
      </c>
      <c r="D359" s="28">
        <f>F359</f>
        <v>9.4865</v>
      </c>
      <c r="E359" s="28">
        <f>F359</f>
        <v>9.4865</v>
      </c>
      <c r="F359" s="28">
        <f>ROUND(9.4865,4)</f>
        <v>9.4865</v>
      </c>
      <c r="G359" s="25"/>
      <c r="H359" s="26"/>
    </row>
    <row r="360" spans="1:8" ht="12.75" customHeight="1">
      <c r="A360" s="23">
        <v>43087</v>
      </c>
      <c r="B360" s="23"/>
      <c r="C360" s="28">
        <f>ROUND(9.46117676,4)</f>
        <v>9.4612</v>
      </c>
      <c r="D360" s="28">
        <f>F360</f>
        <v>9.6047</v>
      </c>
      <c r="E360" s="28">
        <f>F360</f>
        <v>9.6047</v>
      </c>
      <c r="F360" s="28">
        <f>ROUND(9.6047,4)</f>
        <v>9.6047</v>
      </c>
      <c r="G360" s="25"/>
      <c r="H360" s="26"/>
    </row>
    <row r="361" spans="1:8" ht="12.75" customHeight="1">
      <c r="A361" s="23">
        <v>43178</v>
      </c>
      <c r="B361" s="23"/>
      <c r="C361" s="28">
        <f>ROUND(9.46117676,4)</f>
        <v>9.4612</v>
      </c>
      <c r="D361" s="28">
        <f>F361</f>
        <v>9.7191</v>
      </c>
      <c r="E361" s="28">
        <f>F361</f>
        <v>9.7191</v>
      </c>
      <c r="F361" s="28">
        <f>ROUND(9.7191,4)</f>
        <v>9.7191</v>
      </c>
      <c r="G361" s="25"/>
      <c r="H361" s="26"/>
    </row>
    <row r="362" spans="1:8" ht="12.75" customHeight="1">
      <c r="A362" s="23">
        <v>43269</v>
      </c>
      <c r="B362" s="23"/>
      <c r="C362" s="28">
        <f>ROUND(9.46117676,4)</f>
        <v>9.4612</v>
      </c>
      <c r="D362" s="28">
        <f>F362</f>
        <v>9.832</v>
      </c>
      <c r="E362" s="28">
        <f>F362</f>
        <v>9.832</v>
      </c>
      <c r="F362" s="28">
        <f>ROUND(9.832,4)</f>
        <v>9.832</v>
      </c>
      <c r="G362" s="25"/>
      <c r="H362" s="26"/>
    </row>
    <row r="363" spans="1:8" ht="12.75" customHeight="1">
      <c r="A363" s="23">
        <v>43630</v>
      </c>
      <c r="B363" s="23"/>
      <c r="C363" s="28">
        <f>ROUND(9.46117676,4)</f>
        <v>9.4612</v>
      </c>
      <c r="D363" s="28">
        <f>F363</f>
        <v>10.2868</v>
      </c>
      <c r="E363" s="28">
        <f>F363</f>
        <v>10.2868</v>
      </c>
      <c r="F363" s="28">
        <f>ROUND(10.2868,4)</f>
        <v>10.2868</v>
      </c>
      <c r="G363" s="25"/>
      <c r="H363" s="26"/>
    </row>
    <row r="364" spans="1:8" ht="12.75" customHeight="1">
      <c r="A364" s="23" t="s">
        <v>80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42996</v>
      </c>
      <c r="B365" s="23"/>
      <c r="C365" s="28">
        <f>ROUND(9.63786798655487,4)</f>
        <v>9.6379</v>
      </c>
      <c r="D365" s="28">
        <f>F365</f>
        <v>9.6681</v>
      </c>
      <c r="E365" s="28">
        <f>F365</f>
        <v>9.6681</v>
      </c>
      <c r="F365" s="28">
        <f>ROUND(9.6681,4)</f>
        <v>9.6681</v>
      </c>
      <c r="G365" s="25"/>
      <c r="H365" s="26"/>
    </row>
    <row r="366" spans="1:8" ht="12.75" customHeight="1">
      <c r="A366" s="23">
        <v>43087</v>
      </c>
      <c r="B366" s="23"/>
      <c r="C366" s="28">
        <f>ROUND(9.63786798655487,4)</f>
        <v>9.6379</v>
      </c>
      <c r="D366" s="28">
        <f>F366</f>
        <v>9.8138</v>
      </c>
      <c r="E366" s="28">
        <f>F366</f>
        <v>9.8138</v>
      </c>
      <c r="F366" s="28">
        <f>ROUND(9.8138,4)</f>
        <v>9.8138</v>
      </c>
      <c r="G366" s="25"/>
      <c r="H366" s="26"/>
    </row>
    <row r="367" spans="1:8" ht="12.75" customHeight="1">
      <c r="A367" s="23">
        <v>43178</v>
      </c>
      <c r="B367" s="23"/>
      <c r="C367" s="28">
        <f>ROUND(9.63786798655487,4)</f>
        <v>9.6379</v>
      </c>
      <c r="D367" s="28">
        <f>F367</f>
        <v>9.9575</v>
      </c>
      <c r="E367" s="28">
        <f>F367</f>
        <v>9.9575</v>
      </c>
      <c r="F367" s="28">
        <f>ROUND(9.9575,4)</f>
        <v>9.9575</v>
      </c>
      <c r="G367" s="25"/>
      <c r="H367" s="26"/>
    </row>
    <row r="368" spans="1:8" ht="12.75" customHeight="1">
      <c r="A368" s="23">
        <v>43269</v>
      </c>
      <c r="B368" s="23"/>
      <c r="C368" s="28">
        <f>ROUND(9.63786798655487,4)</f>
        <v>9.6379</v>
      </c>
      <c r="D368" s="28">
        <f>F368</f>
        <v>10.099</v>
      </c>
      <c r="E368" s="28">
        <f>F368</f>
        <v>10.099</v>
      </c>
      <c r="F368" s="28">
        <f>ROUND(10.099,4)</f>
        <v>10.099</v>
      </c>
      <c r="G368" s="25"/>
      <c r="H368" s="26"/>
    </row>
    <row r="369" spans="1:8" ht="12.75" customHeight="1">
      <c r="A369" s="23">
        <v>43630</v>
      </c>
      <c r="B369" s="23"/>
      <c r="C369" s="28">
        <f>ROUND(9.63786798655487,4)</f>
        <v>9.6379</v>
      </c>
      <c r="D369" s="28">
        <f>F369</f>
        <v>10.6853</v>
      </c>
      <c r="E369" s="28">
        <f>F369</f>
        <v>10.6853</v>
      </c>
      <c r="F369" s="28">
        <f>ROUND(10.6853,4)</f>
        <v>10.6853</v>
      </c>
      <c r="G369" s="25"/>
      <c r="H369" s="26"/>
    </row>
    <row r="370" spans="1:8" ht="12.75" customHeight="1">
      <c r="A370" s="23" t="s">
        <v>81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42996</v>
      </c>
      <c r="B371" s="23"/>
      <c r="C371" s="28">
        <f>ROUND(3.78812427409988,4)</f>
        <v>3.7881</v>
      </c>
      <c r="D371" s="28">
        <f>F371</f>
        <v>3.7805</v>
      </c>
      <c r="E371" s="28">
        <f>F371</f>
        <v>3.7805</v>
      </c>
      <c r="F371" s="28">
        <f>ROUND(3.7805,4)</f>
        <v>3.7805</v>
      </c>
      <c r="G371" s="25"/>
      <c r="H371" s="26"/>
    </row>
    <row r="372" spans="1:8" ht="12.75" customHeight="1">
      <c r="A372" s="23">
        <v>43087</v>
      </c>
      <c r="B372" s="23"/>
      <c r="C372" s="28">
        <f>ROUND(3.78812427409988,4)</f>
        <v>3.7881</v>
      </c>
      <c r="D372" s="28">
        <f>F372</f>
        <v>3.7357</v>
      </c>
      <c r="E372" s="28">
        <f>F372</f>
        <v>3.7357</v>
      </c>
      <c r="F372" s="28">
        <f>ROUND(3.7357,4)</f>
        <v>3.7357</v>
      </c>
      <c r="G372" s="25"/>
      <c r="H372" s="26"/>
    </row>
    <row r="373" spans="1:8" ht="12.75" customHeight="1">
      <c r="A373" s="23">
        <v>43178</v>
      </c>
      <c r="B373" s="23"/>
      <c r="C373" s="28">
        <f>ROUND(3.78812427409988,4)</f>
        <v>3.7881</v>
      </c>
      <c r="D373" s="28">
        <f>F373</f>
        <v>3.6951</v>
      </c>
      <c r="E373" s="28">
        <f>F373</f>
        <v>3.6951</v>
      </c>
      <c r="F373" s="28">
        <f>ROUND(3.6951,4)</f>
        <v>3.6951</v>
      </c>
      <c r="G373" s="25"/>
      <c r="H373" s="26"/>
    </row>
    <row r="374" spans="1:8" ht="12.75" customHeight="1">
      <c r="A374" s="23">
        <v>43269</v>
      </c>
      <c r="B374" s="23"/>
      <c r="C374" s="28">
        <f>ROUND(3.78812427409988,4)</f>
        <v>3.7881</v>
      </c>
      <c r="D374" s="28">
        <f>F374</f>
        <v>3.6571</v>
      </c>
      <c r="E374" s="28">
        <f>F374</f>
        <v>3.6571</v>
      </c>
      <c r="F374" s="28">
        <f>ROUND(3.6571,4)</f>
        <v>3.6571</v>
      </c>
      <c r="G374" s="25"/>
      <c r="H374" s="26"/>
    </row>
    <row r="375" spans="1:8" ht="12.75" customHeight="1">
      <c r="A375" s="23">
        <v>43630</v>
      </c>
      <c r="B375" s="23"/>
      <c r="C375" s="28">
        <f>ROUND(3.78812427409988,4)</f>
        <v>3.7881</v>
      </c>
      <c r="D375" s="28">
        <f>F375</f>
        <v>3.543</v>
      </c>
      <c r="E375" s="28">
        <f>F375</f>
        <v>3.543</v>
      </c>
      <c r="F375" s="28">
        <f>ROUND(3.543,4)</f>
        <v>3.543</v>
      </c>
      <c r="G375" s="25"/>
      <c r="H375" s="26"/>
    </row>
    <row r="376" spans="1:8" ht="12.75" customHeight="1">
      <c r="A376" s="23" t="s">
        <v>82</v>
      </c>
      <c r="B376" s="23"/>
      <c r="C376" s="27"/>
      <c r="D376" s="27"/>
      <c r="E376" s="27"/>
      <c r="F376" s="27"/>
      <c r="G376" s="25"/>
      <c r="H376" s="26"/>
    </row>
    <row r="377" spans="1:8" ht="12.75" customHeight="1">
      <c r="A377" s="23">
        <v>42996</v>
      </c>
      <c r="B377" s="23"/>
      <c r="C377" s="28">
        <f aca="true" t="shared" si="24" ref="C377:C382">ROUND(13.0463,4)</f>
        <v>13.0463</v>
      </c>
      <c r="D377" s="28">
        <f aca="true" t="shared" si="25" ref="D377:D382">F377</f>
        <v>13.0859</v>
      </c>
      <c r="E377" s="28">
        <f aca="true" t="shared" si="26" ref="E377:E382">F377</f>
        <v>13.0859</v>
      </c>
      <c r="F377" s="28">
        <f>ROUND(13.0859,4)</f>
        <v>13.0859</v>
      </c>
      <c r="G377" s="25"/>
      <c r="H377" s="26"/>
    </row>
    <row r="378" spans="1:8" ht="12.75" customHeight="1">
      <c r="A378" s="23">
        <v>43087</v>
      </c>
      <c r="B378" s="23"/>
      <c r="C378" s="28">
        <f t="shared" si="24"/>
        <v>13.0463</v>
      </c>
      <c r="D378" s="28">
        <f t="shared" si="25"/>
        <v>13.271</v>
      </c>
      <c r="E378" s="28">
        <f t="shared" si="26"/>
        <v>13.271</v>
      </c>
      <c r="F378" s="28">
        <f>ROUND(13.271,4)</f>
        <v>13.271</v>
      </c>
      <c r="G378" s="25"/>
      <c r="H378" s="26"/>
    </row>
    <row r="379" spans="1:8" ht="12.75" customHeight="1">
      <c r="A379" s="23">
        <v>43178</v>
      </c>
      <c r="B379" s="23"/>
      <c r="C379" s="28">
        <f t="shared" si="24"/>
        <v>13.0463</v>
      </c>
      <c r="D379" s="28">
        <f t="shared" si="25"/>
        <v>13.4502</v>
      </c>
      <c r="E379" s="28">
        <f t="shared" si="26"/>
        <v>13.4502</v>
      </c>
      <c r="F379" s="28">
        <f>ROUND(13.4502,4)</f>
        <v>13.4502</v>
      </c>
      <c r="G379" s="25"/>
      <c r="H379" s="26"/>
    </row>
    <row r="380" spans="1:8" ht="12.75" customHeight="1">
      <c r="A380" s="23">
        <v>43269</v>
      </c>
      <c r="B380" s="23"/>
      <c r="C380" s="28">
        <f t="shared" si="24"/>
        <v>13.0463</v>
      </c>
      <c r="D380" s="28">
        <f t="shared" si="25"/>
        <v>13.628</v>
      </c>
      <c r="E380" s="28">
        <f t="shared" si="26"/>
        <v>13.628</v>
      </c>
      <c r="F380" s="28">
        <f>ROUND(13.628,4)</f>
        <v>13.628</v>
      </c>
      <c r="G380" s="25"/>
      <c r="H380" s="26"/>
    </row>
    <row r="381" spans="1:8" ht="12.75" customHeight="1">
      <c r="A381" s="23">
        <v>43360</v>
      </c>
      <c r="B381" s="23"/>
      <c r="C381" s="28">
        <f t="shared" si="24"/>
        <v>13.0463</v>
      </c>
      <c r="D381" s="28">
        <f t="shared" si="25"/>
        <v>13.805</v>
      </c>
      <c r="E381" s="28">
        <f t="shared" si="26"/>
        <v>13.805</v>
      </c>
      <c r="F381" s="28">
        <v>13.805</v>
      </c>
      <c r="G381" s="25"/>
      <c r="H381" s="26"/>
    </row>
    <row r="382" spans="1:8" ht="12.75" customHeight="1">
      <c r="A382" s="23">
        <v>43630</v>
      </c>
      <c r="B382" s="23"/>
      <c r="C382" s="28">
        <f t="shared" si="24"/>
        <v>13.0463</v>
      </c>
      <c r="D382" s="28">
        <f t="shared" si="25"/>
        <v>13.9863</v>
      </c>
      <c r="E382" s="28">
        <f t="shared" si="26"/>
        <v>13.9863</v>
      </c>
      <c r="F382" s="28">
        <v>13.9863</v>
      </c>
      <c r="G382" s="25"/>
      <c r="H382" s="26"/>
    </row>
    <row r="383" spans="1:8" ht="12.75" customHeight="1">
      <c r="A383" s="23" t="s">
        <v>83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42996</v>
      </c>
      <c r="B384" s="23"/>
      <c r="C384" s="28">
        <f aca="true" t="shared" si="27" ref="C384:C397">ROUND(13.0463,4)</f>
        <v>13.0463</v>
      </c>
      <c r="D384" s="28">
        <f aca="true" t="shared" si="28" ref="D384:D397">F384</f>
        <v>13.0859</v>
      </c>
      <c r="E384" s="28">
        <f aca="true" t="shared" si="29" ref="E384:E397">F384</f>
        <v>13.0859</v>
      </c>
      <c r="F384" s="28">
        <f>ROUND(13.0859,4)</f>
        <v>13.0859</v>
      </c>
      <c r="G384" s="25"/>
      <c r="H384" s="26"/>
    </row>
    <row r="385" spans="1:8" ht="12.75" customHeight="1">
      <c r="A385" s="23">
        <v>43087</v>
      </c>
      <c r="B385" s="23"/>
      <c r="C385" s="28">
        <f t="shared" si="27"/>
        <v>13.0463</v>
      </c>
      <c r="D385" s="28">
        <f t="shared" si="28"/>
        <v>13.271</v>
      </c>
      <c r="E385" s="28">
        <f t="shared" si="29"/>
        <v>13.271</v>
      </c>
      <c r="F385" s="28">
        <f>ROUND(13.271,4)</f>
        <v>13.271</v>
      </c>
      <c r="G385" s="25"/>
      <c r="H385" s="26"/>
    </row>
    <row r="386" spans="1:8" ht="12.75" customHeight="1">
      <c r="A386" s="23">
        <v>43175</v>
      </c>
      <c r="B386" s="23"/>
      <c r="C386" s="28">
        <f t="shared" si="27"/>
        <v>13.0463</v>
      </c>
      <c r="D386" s="28">
        <f t="shared" si="28"/>
        <v>17.5004</v>
      </c>
      <c r="E386" s="28">
        <f t="shared" si="29"/>
        <v>17.5004</v>
      </c>
      <c r="F386" s="28">
        <f>ROUND(17.5004,4)</f>
        <v>17.5004</v>
      </c>
      <c r="G386" s="25"/>
      <c r="H386" s="26"/>
    </row>
    <row r="387" spans="1:8" ht="12.75" customHeight="1">
      <c r="A387" s="23">
        <v>43178</v>
      </c>
      <c r="B387" s="23"/>
      <c r="C387" s="28">
        <f t="shared" si="27"/>
        <v>13.0463</v>
      </c>
      <c r="D387" s="28">
        <f t="shared" si="28"/>
        <v>13.4502</v>
      </c>
      <c r="E387" s="28">
        <f t="shared" si="29"/>
        <v>13.4502</v>
      </c>
      <c r="F387" s="28">
        <f>ROUND(13.4502,4)</f>
        <v>13.4502</v>
      </c>
      <c r="G387" s="25"/>
      <c r="H387" s="26"/>
    </row>
    <row r="388" spans="1:8" ht="12.75" customHeight="1">
      <c r="A388" s="23">
        <v>43269</v>
      </c>
      <c r="B388" s="23"/>
      <c r="C388" s="28">
        <f t="shared" si="27"/>
        <v>13.0463</v>
      </c>
      <c r="D388" s="28">
        <f t="shared" si="28"/>
        <v>13.628</v>
      </c>
      <c r="E388" s="28">
        <f t="shared" si="29"/>
        <v>13.628</v>
      </c>
      <c r="F388" s="28">
        <f>ROUND(13.628,4)</f>
        <v>13.628</v>
      </c>
      <c r="G388" s="25"/>
      <c r="H388" s="26"/>
    </row>
    <row r="389" spans="1:8" ht="12.75" customHeight="1">
      <c r="A389" s="23">
        <v>43360</v>
      </c>
      <c r="B389" s="23"/>
      <c r="C389" s="28">
        <f t="shared" si="27"/>
        <v>13.0463</v>
      </c>
      <c r="D389" s="28">
        <f t="shared" si="28"/>
        <v>13.805</v>
      </c>
      <c r="E389" s="28">
        <f t="shared" si="29"/>
        <v>13.805</v>
      </c>
      <c r="F389" s="28">
        <f>ROUND(13.805,4)</f>
        <v>13.805</v>
      </c>
      <c r="G389" s="25"/>
      <c r="H389" s="26"/>
    </row>
    <row r="390" spans="1:8" ht="12.75" customHeight="1">
      <c r="A390" s="23">
        <v>43448</v>
      </c>
      <c r="B390" s="23"/>
      <c r="C390" s="28">
        <f t="shared" si="27"/>
        <v>13.0463</v>
      </c>
      <c r="D390" s="28">
        <f t="shared" si="28"/>
        <v>13.9863</v>
      </c>
      <c r="E390" s="28">
        <f t="shared" si="29"/>
        <v>13.9863</v>
      </c>
      <c r="F390" s="28">
        <f>ROUND(13.9863,4)</f>
        <v>13.9863</v>
      </c>
      <c r="G390" s="25"/>
      <c r="H390" s="26"/>
    </row>
    <row r="391" spans="1:8" ht="12.75" customHeight="1">
      <c r="A391" s="23">
        <v>43542</v>
      </c>
      <c r="B391" s="23"/>
      <c r="C391" s="28">
        <f t="shared" si="27"/>
        <v>13.0463</v>
      </c>
      <c r="D391" s="28">
        <f t="shared" si="28"/>
        <v>14.1799</v>
      </c>
      <c r="E391" s="28">
        <f t="shared" si="29"/>
        <v>14.1799</v>
      </c>
      <c r="F391" s="28">
        <f>ROUND(14.1799,4)</f>
        <v>14.1799</v>
      </c>
      <c r="G391" s="25"/>
      <c r="H391" s="26"/>
    </row>
    <row r="392" spans="1:8" ht="12.75" customHeight="1">
      <c r="A392" s="23">
        <v>43630</v>
      </c>
      <c r="B392" s="23"/>
      <c r="C392" s="28">
        <f t="shared" si="27"/>
        <v>13.0463</v>
      </c>
      <c r="D392" s="28">
        <f t="shared" si="28"/>
        <v>14.3612</v>
      </c>
      <c r="E392" s="28">
        <f t="shared" si="29"/>
        <v>14.3612</v>
      </c>
      <c r="F392" s="28">
        <f>ROUND(14.3612,4)</f>
        <v>14.3612</v>
      </c>
      <c r="G392" s="25"/>
      <c r="H392" s="26"/>
    </row>
    <row r="393" spans="1:8" ht="12.75" customHeight="1">
      <c r="A393" s="23">
        <v>43724</v>
      </c>
      <c r="B393" s="23"/>
      <c r="C393" s="28">
        <f t="shared" si="27"/>
        <v>13.0463</v>
      </c>
      <c r="D393" s="28">
        <f t="shared" si="28"/>
        <v>14.5609</v>
      </c>
      <c r="E393" s="28">
        <f t="shared" si="29"/>
        <v>14.5609</v>
      </c>
      <c r="F393" s="28">
        <f>ROUND(14.5609,4)</f>
        <v>14.5609</v>
      </c>
      <c r="G393" s="25"/>
      <c r="H393" s="26"/>
    </row>
    <row r="394" spans="1:8" ht="12.75" customHeight="1">
      <c r="A394" s="23">
        <v>43812</v>
      </c>
      <c r="B394" s="23"/>
      <c r="C394" s="28">
        <f t="shared" si="27"/>
        <v>13.0463</v>
      </c>
      <c r="D394" s="28">
        <f t="shared" si="28"/>
        <v>14.7736</v>
      </c>
      <c r="E394" s="28">
        <f t="shared" si="29"/>
        <v>14.7736</v>
      </c>
      <c r="F394" s="28">
        <f>ROUND(14.7736,4)</f>
        <v>14.7736</v>
      </c>
      <c r="G394" s="25"/>
      <c r="H394" s="26"/>
    </row>
    <row r="395" spans="1:8" ht="12.75" customHeight="1">
      <c r="A395" s="23">
        <v>43906</v>
      </c>
      <c r="B395" s="23"/>
      <c r="C395" s="28">
        <f t="shared" si="27"/>
        <v>13.0463</v>
      </c>
      <c r="D395" s="28">
        <f t="shared" si="28"/>
        <v>15.0007</v>
      </c>
      <c r="E395" s="28">
        <f t="shared" si="29"/>
        <v>15.0007</v>
      </c>
      <c r="F395" s="28">
        <f>ROUND(15.0007,4)</f>
        <v>15.0007</v>
      </c>
      <c r="G395" s="25"/>
      <c r="H395" s="26"/>
    </row>
    <row r="396" spans="1:8" ht="12.75" customHeight="1">
      <c r="A396" s="23">
        <v>43994</v>
      </c>
      <c r="B396" s="23"/>
      <c r="C396" s="28">
        <f t="shared" si="27"/>
        <v>13.0463</v>
      </c>
      <c r="D396" s="28">
        <f t="shared" si="28"/>
        <v>15.2134</v>
      </c>
      <c r="E396" s="28">
        <f t="shared" si="29"/>
        <v>15.2134</v>
      </c>
      <c r="F396" s="28">
        <f>ROUND(15.2134,4)</f>
        <v>15.2134</v>
      </c>
      <c r="G396" s="25"/>
      <c r="H396" s="26"/>
    </row>
    <row r="397" spans="1:8" ht="12.75" customHeight="1">
      <c r="A397" s="23">
        <v>44088</v>
      </c>
      <c r="B397" s="23"/>
      <c r="C397" s="28">
        <f t="shared" si="27"/>
        <v>13.0463</v>
      </c>
      <c r="D397" s="28">
        <f t="shared" si="28"/>
        <v>15.4406</v>
      </c>
      <c r="E397" s="28">
        <f t="shared" si="29"/>
        <v>15.4406</v>
      </c>
      <c r="F397" s="28">
        <f>ROUND(15.4406,4)</f>
        <v>15.4406</v>
      </c>
      <c r="G397" s="25"/>
      <c r="H397" s="26"/>
    </row>
    <row r="398" spans="1:8" ht="12.75" customHeight="1">
      <c r="A398" s="23" t="s">
        <v>84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42996</v>
      </c>
      <c r="B399" s="23"/>
      <c r="C399" s="28">
        <f>ROUND(1.44301515319102,4)</f>
        <v>1.443</v>
      </c>
      <c r="D399" s="28">
        <f>F399</f>
        <v>1.4352</v>
      </c>
      <c r="E399" s="28">
        <f>F399</f>
        <v>1.4352</v>
      </c>
      <c r="F399" s="28">
        <f>ROUND(1.4352,4)</f>
        <v>1.4352</v>
      </c>
      <c r="G399" s="25"/>
      <c r="H399" s="26"/>
    </row>
    <row r="400" spans="1:8" ht="12.75" customHeight="1">
      <c r="A400" s="23">
        <v>43087</v>
      </c>
      <c r="B400" s="23"/>
      <c r="C400" s="28">
        <f>ROUND(1.44301515319102,4)</f>
        <v>1.443</v>
      </c>
      <c r="D400" s="28">
        <f>F400</f>
        <v>1.4088</v>
      </c>
      <c r="E400" s="28">
        <f>F400</f>
        <v>1.4088</v>
      </c>
      <c r="F400" s="28">
        <f>ROUND(1.4088,4)</f>
        <v>1.4088</v>
      </c>
      <c r="G400" s="25"/>
      <c r="H400" s="26"/>
    </row>
    <row r="401" spans="1:8" ht="12.75" customHeight="1">
      <c r="A401" s="23">
        <v>43178</v>
      </c>
      <c r="B401" s="23"/>
      <c r="C401" s="28">
        <f>ROUND(1.44301515319102,4)</f>
        <v>1.443</v>
      </c>
      <c r="D401" s="28">
        <f>F401</f>
        <v>1.3865</v>
      </c>
      <c r="E401" s="28">
        <f>F401</f>
        <v>1.3865</v>
      </c>
      <c r="F401" s="28">
        <f>ROUND(1.3865,4)</f>
        <v>1.3865</v>
      </c>
      <c r="G401" s="25"/>
      <c r="H401" s="26"/>
    </row>
    <row r="402" spans="1:8" ht="12.75" customHeight="1">
      <c r="A402" s="23">
        <v>43269</v>
      </c>
      <c r="B402" s="23"/>
      <c r="C402" s="28">
        <f>ROUND(1.44301515319102,4)</f>
        <v>1.443</v>
      </c>
      <c r="D402" s="28">
        <f>F402</f>
        <v>1.368</v>
      </c>
      <c r="E402" s="28">
        <f>F402</f>
        <v>1.368</v>
      </c>
      <c r="F402" s="28">
        <f>ROUND(1.368,4)</f>
        <v>1.368</v>
      </c>
      <c r="G402" s="25"/>
      <c r="H402" s="26"/>
    </row>
    <row r="403" spans="1:8" ht="12.75" customHeight="1">
      <c r="A403" s="23">
        <v>43630</v>
      </c>
      <c r="B403" s="23"/>
      <c r="C403" s="28">
        <f>ROUND(1.44301515319102,4)</f>
        <v>1.443</v>
      </c>
      <c r="D403" s="28">
        <f>F403</f>
        <v>1.2529</v>
      </c>
      <c r="E403" s="28">
        <f>F403</f>
        <v>1.2529</v>
      </c>
      <c r="F403" s="28">
        <f>ROUND(1.2529,4)</f>
        <v>1.2529</v>
      </c>
      <c r="G403" s="25"/>
      <c r="H403" s="26"/>
    </row>
    <row r="404" spans="1:8" ht="12.75" customHeight="1">
      <c r="A404" s="23" t="s">
        <v>85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43041</v>
      </c>
      <c r="B405" s="23"/>
      <c r="C405" s="29">
        <f>ROUND(617.008,3)</f>
        <v>617.008</v>
      </c>
      <c r="D405" s="29">
        <f>F405</f>
        <v>625.165</v>
      </c>
      <c r="E405" s="29">
        <f>F405</f>
        <v>625.165</v>
      </c>
      <c r="F405" s="29">
        <f>ROUND(625.165,3)</f>
        <v>625.165</v>
      </c>
      <c r="G405" s="25"/>
      <c r="H405" s="26"/>
    </row>
    <row r="406" spans="1:8" ht="12.75" customHeight="1">
      <c r="A406" s="23">
        <v>43132</v>
      </c>
      <c r="B406" s="23"/>
      <c r="C406" s="29">
        <f>ROUND(617.008,3)</f>
        <v>617.008</v>
      </c>
      <c r="D406" s="29">
        <f>F406</f>
        <v>636.658</v>
      </c>
      <c r="E406" s="29">
        <f>F406</f>
        <v>636.658</v>
      </c>
      <c r="F406" s="29">
        <f>ROUND(636.658,3)</f>
        <v>636.658</v>
      </c>
      <c r="G406" s="25"/>
      <c r="H406" s="26"/>
    </row>
    <row r="407" spans="1:8" ht="12.75" customHeight="1">
      <c r="A407" s="23">
        <v>43223</v>
      </c>
      <c r="B407" s="23"/>
      <c r="C407" s="29">
        <f>ROUND(617.008,3)</f>
        <v>617.008</v>
      </c>
      <c r="D407" s="29">
        <f>F407</f>
        <v>648.555</v>
      </c>
      <c r="E407" s="29">
        <f>F407</f>
        <v>648.555</v>
      </c>
      <c r="F407" s="29">
        <f>ROUND(648.555,3)</f>
        <v>648.555</v>
      </c>
      <c r="G407" s="25"/>
      <c r="H407" s="26"/>
    </row>
    <row r="408" spans="1:8" ht="12.75" customHeight="1">
      <c r="A408" s="23">
        <v>43314</v>
      </c>
      <c r="B408" s="23"/>
      <c r="C408" s="29">
        <f>ROUND(617.008,3)</f>
        <v>617.008</v>
      </c>
      <c r="D408" s="29">
        <f>F408</f>
        <v>660.769</v>
      </c>
      <c r="E408" s="29">
        <f>F408</f>
        <v>660.769</v>
      </c>
      <c r="F408" s="29">
        <f>ROUND(660.769,3)</f>
        <v>660.769</v>
      </c>
      <c r="G408" s="25"/>
      <c r="H408" s="26"/>
    </row>
    <row r="409" spans="1:8" ht="12.75" customHeight="1">
      <c r="A409" s="23" t="s">
        <v>86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43041</v>
      </c>
      <c r="B410" s="23"/>
      <c r="C410" s="29">
        <f>ROUND(551.5,3)</f>
        <v>551.5</v>
      </c>
      <c r="D410" s="29">
        <f>F410</f>
        <v>558.791</v>
      </c>
      <c r="E410" s="29">
        <f>F410</f>
        <v>558.791</v>
      </c>
      <c r="F410" s="29">
        <f>ROUND(558.791,3)</f>
        <v>558.791</v>
      </c>
      <c r="G410" s="25"/>
      <c r="H410" s="26"/>
    </row>
    <row r="411" spans="1:8" ht="12.75" customHeight="1">
      <c r="A411" s="23">
        <v>43132</v>
      </c>
      <c r="B411" s="23"/>
      <c r="C411" s="29">
        <f>ROUND(551.5,3)</f>
        <v>551.5</v>
      </c>
      <c r="D411" s="29">
        <f>F411</f>
        <v>569.064</v>
      </c>
      <c r="E411" s="29">
        <f>F411</f>
        <v>569.064</v>
      </c>
      <c r="F411" s="29">
        <f>ROUND(569.064,3)</f>
        <v>569.064</v>
      </c>
      <c r="G411" s="25"/>
      <c r="H411" s="26"/>
    </row>
    <row r="412" spans="1:8" ht="12.75" customHeight="1">
      <c r="A412" s="23">
        <v>43223</v>
      </c>
      <c r="B412" s="23"/>
      <c r="C412" s="29">
        <f>ROUND(551.5,3)</f>
        <v>551.5</v>
      </c>
      <c r="D412" s="29">
        <f>F412</f>
        <v>579.698</v>
      </c>
      <c r="E412" s="29">
        <f>F412</f>
        <v>579.698</v>
      </c>
      <c r="F412" s="29">
        <f>ROUND(579.698,3)</f>
        <v>579.698</v>
      </c>
      <c r="G412" s="25"/>
      <c r="H412" s="26"/>
    </row>
    <row r="413" spans="1:8" ht="12.75" customHeight="1">
      <c r="A413" s="23">
        <v>43314</v>
      </c>
      <c r="B413" s="23"/>
      <c r="C413" s="29">
        <f>ROUND(551.5,3)</f>
        <v>551.5</v>
      </c>
      <c r="D413" s="29">
        <f>F413</f>
        <v>590.615</v>
      </c>
      <c r="E413" s="29">
        <f>F413</f>
        <v>590.615</v>
      </c>
      <c r="F413" s="29">
        <f>ROUND(590.615,3)</f>
        <v>590.615</v>
      </c>
      <c r="G413" s="25"/>
      <c r="H413" s="26"/>
    </row>
    <row r="414" spans="1:8" ht="12.75" customHeight="1">
      <c r="A414" s="23" t="s">
        <v>87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43041</v>
      </c>
      <c r="B415" s="23"/>
      <c r="C415" s="29">
        <f>ROUND(633.974,3)</f>
        <v>633.974</v>
      </c>
      <c r="D415" s="29">
        <f>F415</f>
        <v>642.356</v>
      </c>
      <c r="E415" s="29">
        <f>F415</f>
        <v>642.356</v>
      </c>
      <c r="F415" s="29">
        <f>ROUND(642.356,3)</f>
        <v>642.356</v>
      </c>
      <c r="G415" s="25"/>
      <c r="H415" s="26"/>
    </row>
    <row r="416" spans="1:8" ht="12.75" customHeight="1">
      <c r="A416" s="23">
        <v>43132</v>
      </c>
      <c r="B416" s="23"/>
      <c r="C416" s="29">
        <f>ROUND(633.974,3)</f>
        <v>633.974</v>
      </c>
      <c r="D416" s="29">
        <f>F416</f>
        <v>654.164</v>
      </c>
      <c r="E416" s="29">
        <f>F416</f>
        <v>654.164</v>
      </c>
      <c r="F416" s="29">
        <f>ROUND(654.164,3)</f>
        <v>654.164</v>
      </c>
      <c r="G416" s="25"/>
      <c r="H416" s="26"/>
    </row>
    <row r="417" spans="1:8" ht="12.75" customHeight="1">
      <c r="A417" s="23">
        <v>43223</v>
      </c>
      <c r="B417" s="23"/>
      <c r="C417" s="29">
        <f>ROUND(633.974,3)</f>
        <v>633.974</v>
      </c>
      <c r="D417" s="29">
        <f>F417</f>
        <v>666.388</v>
      </c>
      <c r="E417" s="29">
        <f>F417</f>
        <v>666.388</v>
      </c>
      <c r="F417" s="29">
        <f>ROUND(666.388,3)</f>
        <v>666.388</v>
      </c>
      <c r="G417" s="25"/>
      <c r="H417" s="26"/>
    </row>
    <row r="418" spans="1:8" ht="12.75" customHeight="1">
      <c r="A418" s="23">
        <v>43314</v>
      </c>
      <c r="B418" s="23"/>
      <c r="C418" s="29">
        <f>ROUND(633.974,3)</f>
        <v>633.974</v>
      </c>
      <c r="D418" s="29">
        <f>F418</f>
        <v>678.939</v>
      </c>
      <c r="E418" s="29">
        <f>F418</f>
        <v>678.939</v>
      </c>
      <c r="F418" s="29">
        <f>ROUND(678.939,3)</f>
        <v>678.939</v>
      </c>
      <c r="G418" s="25"/>
      <c r="H418" s="26"/>
    </row>
    <row r="419" spans="1:8" ht="12.75" customHeight="1">
      <c r="A419" s="23" t="s">
        <v>88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43041</v>
      </c>
      <c r="B420" s="23"/>
      <c r="C420" s="29">
        <f>ROUND(569.041,3)</f>
        <v>569.041</v>
      </c>
      <c r="D420" s="29">
        <f>F420</f>
        <v>576.564</v>
      </c>
      <c r="E420" s="29">
        <f>F420</f>
        <v>576.564</v>
      </c>
      <c r="F420" s="29">
        <f>ROUND(576.564,3)</f>
        <v>576.564</v>
      </c>
      <c r="G420" s="25"/>
      <c r="H420" s="26"/>
    </row>
    <row r="421" spans="1:8" ht="12.75" customHeight="1">
      <c r="A421" s="23">
        <v>43132</v>
      </c>
      <c r="B421" s="23"/>
      <c r="C421" s="29">
        <f>ROUND(569.041,3)</f>
        <v>569.041</v>
      </c>
      <c r="D421" s="29">
        <f>F421</f>
        <v>587.163</v>
      </c>
      <c r="E421" s="29">
        <f>F421</f>
        <v>587.163</v>
      </c>
      <c r="F421" s="29">
        <f>ROUND(587.163,3)</f>
        <v>587.163</v>
      </c>
      <c r="G421" s="25"/>
      <c r="H421" s="26"/>
    </row>
    <row r="422" spans="1:8" ht="12.75" customHeight="1">
      <c r="A422" s="23">
        <v>43223</v>
      </c>
      <c r="B422" s="23"/>
      <c r="C422" s="29">
        <f>ROUND(569.041,3)</f>
        <v>569.041</v>
      </c>
      <c r="D422" s="29">
        <f>F422</f>
        <v>598.135</v>
      </c>
      <c r="E422" s="29">
        <f>F422</f>
        <v>598.135</v>
      </c>
      <c r="F422" s="29">
        <f>ROUND(598.135,3)</f>
        <v>598.135</v>
      </c>
      <c r="G422" s="25"/>
      <c r="H422" s="26"/>
    </row>
    <row r="423" spans="1:8" ht="12.75" customHeight="1">
      <c r="A423" s="23">
        <v>43314</v>
      </c>
      <c r="B423" s="23"/>
      <c r="C423" s="29">
        <f>ROUND(569.041,3)</f>
        <v>569.041</v>
      </c>
      <c r="D423" s="29">
        <f>F423</f>
        <v>609.4</v>
      </c>
      <c r="E423" s="29">
        <f>F423</f>
        <v>609.4</v>
      </c>
      <c r="F423" s="29">
        <f>ROUND(609.4,3)</f>
        <v>609.4</v>
      </c>
      <c r="G423" s="25"/>
      <c r="H423" s="26"/>
    </row>
    <row r="424" spans="1:8" ht="12.75" customHeight="1">
      <c r="A424" s="23" t="s">
        <v>89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43041</v>
      </c>
      <c r="B425" s="23"/>
      <c r="C425" s="29">
        <f>ROUND(247.616746814439,3)</f>
        <v>247.617</v>
      </c>
      <c r="D425" s="29">
        <f>F425</f>
        <v>250.931</v>
      </c>
      <c r="E425" s="29">
        <f>F425</f>
        <v>250.931</v>
      </c>
      <c r="F425" s="29">
        <f>ROUND(250.931,3)</f>
        <v>250.931</v>
      </c>
      <c r="G425" s="25"/>
      <c r="H425" s="26"/>
    </row>
    <row r="426" spans="1:8" ht="12.75" customHeight="1">
      <c r="A426" s="23">
        <v>43132</v>
      </c>
      <c r="B426" s="23"/>
      <c r="C426" s="29">
        <f>ROUND(247.616746814439,3)</f>
        <v>247.617</v>
      </c>
      <c r="D426" s="29">
        <f>F426</f>
        <v>255.632</v>
      </c>
      <c r="E426" s="29">
        <f>F426</f>
        <v>255.632</v>
      </c>
      <c r="F426" s="29">
        <f>ROUND(255.632,3)</f>
        <v>255.632</v>
      </c>
      <c r="G426" s="25"/>
      <c r="H426" s="26"/>
    </row>
    <row r="427" spans="1:8" ht="12.75" customHeight="1">
      <c r="A427" s="23">
        <v>43223</v>
      </c>
      <c r="B427" s="23"/>
      <c r="C427" s="29">
        <f>ROUND(247.616746814439,3)</f>
        <v>247.617</v>
      </c>
      <c r="D427" s="29">
        <f>F427</f>
        <v>260.519</v>
      </c>
      <c r="E427" s="29">
        <f>F427</f>
        <v>260.519</v>
      </c>
      <c r="F427" s="29">
        <f>ROUND(260.519,3)</f>
        <v>260.519</v>
      </c>
      <c r="G427" s="25"/>
      <c r="H427" s="26"/>
    </row>
    <row r="428" spans="1:8" ht="12.75" customHeight="1">
      <c r="A428" s="23">
        <v>43314</v>
      </c>
      <c r="B428" s="23"/>
      <c r="C428" s="29">
        <f>ROUND(247.616746814439,3)</f>
        <v>247.617</v>
      </c>
      <c r="D428" s="29">
        <f>F428</f>
        <v>265.457</v>
      </c>
      <c r="E428" s="29">
        <f>F428</f>
        <v>265.457</v>
      </c>
      <c r="F428" s="29">
        <f>ROUND(265.457,3)</f>
        <v>265.457</v>
      </c>
      <c r="G428" s="25"/>
      <c r="H428" s="26"/>
    </row>
    <row r="429" spans="1:8" ht="12.75" customHeight="1">
      <c r="A429" s="23" t="s">
        <v>90</v>
      </c>
      <c r="B429" s="23"/>
      <c r="C429" s="27"/>
      <c r="D429" s="27"/>
      <c r="E429" s="27"/>
      <c r="F429" s="27"/>
      <c r="G429" s="25"/>
      <c r="H429" s="26"/>
    </row>
    <row r="430" spans="1:8" ht="12.75" customHeight="1">
      <c r="A430" s="23">
        <v>43041</v>
      </c>
      <c r="B430" s="23"/>
      <c r="C430" s="29">
        <f>ROUND(675.731,3)</f>
        <v>675.731</v>
      </c>
      <c r="D430" s="29">
        <f>F430</f>
        <v>709.665</v>
      </c>
      <c r="E430" s="29">
        <f>F430</f>
        <v>709.665</v>
      </c>
      <c r="F430" s="29">
        <f>ROUND(709.665,3)</f>
        <v>709.665</v>
      </c>
      <c r="G430" s="25"/>
      <c r="H430" s="26"/>
    </row>
    <row r="431" spans="1:8" ht="12.75" customHeight="1">
      <c r="A431" s="23">
        <v>43132</v>
      </c>
      <c r="B431" s="23"/>
      <c r="C431" s="29">
        <f>ROUND(675.731,3)</f>
        <v>675.731</v>
      </c>
      <c r="D431" s="29">
        <f>F431</f>
        <v>724.173</v>
      </c>
      <c r="E431" s="29">
        <f>F431</f>
        <v>724.173</v>
      </c>
      <c r="F431" s="29">
        <f>ROUND(724.173,3)</f>
        <v>724.173</v>
      </c>
      <c r="G431" s="25"/>
      <c r="H431" s="26"/>
    </row>
    <row r="432" spans="1:8" ht="12.75" customHeight="1">
      <c r="A432" s="23" t="s">
        <v>91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42996</v>
      </c>
      <c r="B433" s="23"/>
      <c r="C433" s="25">
        <f>ROUND(23277.5259206692,2)</f>
        <v>23277.53</v>
      </c>
      <c r="D433" s="25">
        <f>F433</f>
        <v>23356.79</v>
      </c>
      <c r="E433" s="25">
        <f>F433</f>
        <v>23356.79</v>
      </c>
      <c r="F433" s="25">
        <f>ROUND(23356.79,2)</f>
        <v>23356.79</v>
      </c>
      <c r="G433" s="25"/>
      <c r="H433" s="26"/>
    </row>
    <row r="434" spans="1:8" ht="12.75" customHeight="1">
      <c r="A434" s="23">
        <v>43087</v>
      </c>
      <c r="B434" s="23"/>
      <c r="C434" s="25">
        <f>ROUND(23277.5259206692,2)</f>
        <v>23277.53</v>
      </c>
      <c r="D434" s="25">
        <f>F434</f>
        <v>23727.75</v>
      </c>
      <c r="E434" s="25">
        <f>F434</f>
        <v>23727.75</v>
      </c>
      <c r="F434" s="25">
        <f>ROUND(23727.75,2)</f>
        <v>23727.75</v>
      </c>
      <c r="G434" s="25"/>
      <c r="H434" s="26"/>
    </row>
    <row r="435" spans="1:8" ht="12.75" customHeight="1">
      <c r="A435" s="23">
        <v>43178</v>
      </c>
      <c r="B435" s="23"/>
      <c r="C435" s="25">
        <f>ROUND(23277.5259206692,2)</f>
        <v>23277.53</v>
      </c>
      <c r="D435" s="25">
        <f>F435</f>
        <v>24091.39</v>
      </c>
      <c r="E435" s="25">
        <f>F435</f>
        <v>24091.39</v>
      </c>
      <c r="F435" s="25">
        <f>ROUND(24091.39,2)</f>
        <v>24091.39</v>
      </c>
      <c r="G435" s="25"/>
      <c r="H435" s="26"/>
    </row>
    <row r="436" spans="1:8" ht="12.75" customHeight="1">
      <c r="A436" s="23" t="s">
        <v>92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42998</v>
      </c>
      <c r="B437" s="23"/>
      <c r="C437" s="29">
        <f aca="true" t="shared" si="30" ref="C437:C449">ROUND(7.05,3)</f>
        <v>7.05</v>
      </c>
      <c r="D437" s="29">
        <f>ROUND(7.06,3)</f>
        <v>7.06</v>
      </c>
      <c r="E437" s="29">
        <f>ROUND(6.96,3)</f>
        <v>6.96</v>
      </c>
      <c r="F437" s="29">
        <f>ROUND(7.01,3)</f>
        <v>7.01</v>
      </c>
      <c r="G437" s="25"/>
      <c r="H437" s="26"/>
    </row>
    <row r="438" spans="1:8" ht="12.75" customHeight="1">
      <c r="A438" s="23">
        <v>43026</v>
      </c>
      <c r="B438" s="23"/>
      <c r="C438" s="29">
        <f t="shared" si="30"/>
        <v>7.05</v>
      </c>
      <c r="D438" s="29">
        <f>ROUND(6.95,3)</f>
        <v>6.95</v>
      </c>
      <c r="E438" s="29">
        <f>ROUND(6.85,3)</f>
        <v>6.85</v>
      </c>
      <c r="F438" s="29">
        <f>ROUND(6.9,3)</f>
        <v>6.9</v>
      </c>
      <c r="G438" s="25"/>
      <c r="H438" s="26"/>
    </row>
    <row r="439" spans="1:8" ht="12.75" customHeight="1">
      <c r="A439" s="23">
        <v>43054</v>
      </c>
      <c r="B439" s="23"/>
      <c r="C439" s="29">
        <f t="shared" si="30"/>
        <v>7.05</v>
      </c>
      <c r="D439" s="29">
        <f>ROUND(6.93,3)</f>
        <v>6.93</v>
      </c>
      <c r="E439" s="29">
        <f>ROUND(6.83,3)</f>
        <v>6.83</v>
      </c>
      <c r="F439" s="29">
        <f>ROUND(6.88,3)</f>
        <v>6.88</v>
      </c>
      <c r="G439" s="25"/>
      <c r="H439" s="26"/>
    </row>
    <row r="440" spans="1:8" ht="12.75" customHeight="1">
      <c r="A440" s="23">
        <v>43089</v>
      </c>
      <c r="B440" s="23"/>
      <c r="C440" s="29">
        <f t="shared" si="30"/>
        <v>7.05</v>
      </c>
      <c r="D440" s="29">
        <f>ROUND(6.81,3)</f>
        <v>6.81</v>
      </c>
      <c r="E440" s="29">
        <f>ROUND(6.71,3)</f>
        <v>6.71</v>
      </c>
      <c r="F440" s="29">
        <f>ROUND(6.76,3)</f>
        <v>6.76</v>
      </c>
      <c r="G440" s="25"/>
      <c r="H440" s="26"/>
    </row>
    <row r="441" spans="1:8" ht="12.75" customHeight="1">
      <c r="A441" s="23">
        <v>43117</v>
      </c>
      <c r="B441" s="23"/>
      <c r="C441" s="29">
        <f t="shared" si="30"/>
        <v>7.05</v>
      </c>
      <c r="D441" s="29">
        <f>ROUND(6.8,3)</f>
        <v>6.8</v>
      </c>
      <c r="E441" s="29">
        <f>ROUND(6.7,3)</f>
        <v>6.7</v>
      </c>
      <c r="F441" s="29">
        <f>ROUND(6.75,3)</f>
        <v>6.75</v>
      </c>
      <c r="G441" s="25"/>
      <c r="H441" s="26"/>
    </row>
    <row r="442" spans="1:8" ht="12.75" customHeight="1">
      <c r="A442" s="23">
        <v>43152</v>
      </c>
      <c r="B442" s="23"/>
      <c r="C442" s="29">
        <f t="shared" si="30"/>
        <v>7.05</v>
      </c>
      <c r="D442" s="29">
        <f>ROUND(6.72,3)</f>
        <v>6.72</v>
      </c>
      <c r="E442" s="29">
        <f>ROUND(6.62,3)</f>
        <v>6.62</v>
      </c>
      <c r="F442" s="29">
        <f>ROUND(6.67,3)</f>
        <v>6.67</v>
      </c>
      <c r="G442" s="25"/>
      <c r="H442" s="26"/>
    </row>
    <row r="443" spans="1:8" ht="12.75" customHeight="1">
      <c r="A443" s="23">
        <v>43179</v>
      </c>
      <c r="B443" s="23"/>
      <c r="C443" s="29">
        <f t="shared" si="30"/>
        <v>7.05</v>
      </c>
      <c r="D443" s="29">
        <f>ROUND(6.71,3)</f>
        <v>6.71</v>
      </c>
      <c r="E443" s="29">
        <f>ROUND(6.61,3)</f>
        <v>6.61</v>
      </c>
      <c r="F443" s="29">
        <f>ROUND(6.66,3)</f>
        <v>6.66</v>
      </c>
      <c r="G443" s="25"/>
      <c r="H443" s="26"/>
    </row>
    <row r="444" spans="1:8" ht="12.75" customHeight="1">
      <c r="A444" s="23">
        <v>43269</v>
      </c>
      <c r="B444" s="23"/>
      <c r="C444" s="29">
        <f t="shared" si="30"/>
        <v>7.05</v>
      </c>
      <c r="D444" s="29">
        <f>ROUND(7.51,3)</f>
        <v>7.51</v>
      </c>
      <c r="E444" s="29">
        <f>ROUND(7.41,3)</f>
        <v>7.41</v>
      </c>
      <c r="F444" s="29">
        <f>ROUND(7.46,3)</f>
        <v>7.46</v>
      </c>
      <c r="G444" s="25"/>
      <c r="H444" s="26"/>
    </row>
    <row r="445" spans="1:8" ht="12.75" customHeight="1">
      <c r="A445" s="23">
        <v>43271</v>
      </c>
      <c r="B445" s="23"/>
      <c r="C445" s="29">
        <f t="shared" si="30"/>
        <v>7.05</v>
      </c>
      <c r="D445" s="29">
        <f>ROUND(6.61,3)</f>
        <v>6.61</v>
      </c>
      <c r="E445" s="29">
        <f>ROUND(6.51,3)</f>
        <v>6.51</v>
      </c>
      <c r="F445" s="29">
        <f>ROUND(6.56,3)</f>
        <v>6.56</v>
      </c>
      <c r="G445" s="25"/>
      <c r="H445" s="26"/>
    </row>
    <row r="446" spans="1:8" ht="12.75" customHeight="1">
      <c r="A446" s="23">
        <v>43362</v>
      </c>
      <c r="B446" s="23"/>
      <c r="C446" s="29">
        <f t="shared" si="30"/>
        <v>7.05</v>
      </c>
      <c r="D446" s="29">
        <f>ROUND(6.6,3)</f>
        <v>6.6</v>
      </c>
      <c r="E446" s="29">
        <f>ROUND(6.5,3)</f>
        <v>6.5</v>
      </c>
      <c r="F446" s="29">
        <f>ROUND(6.55,3)</f>
        <v>6.55</v>
      </c>
      <c r="G446" s="25"/>
      <c r="H446" s="26"/>
    </row>
    <row r="447" spans="1:8" ht="12.75" customHeight="1">
      <c r="A447" s="23">
        <v>43453</v>
      </c>
      <c r="B447" s="23"/>
      <c r="C447" s="29">
        <f t="shared" si="30"/>
        <v>7.05</v>
      </c>
      <c r="D447" s="29">
        <f>ROUND(6.63,3)</f>
        <v>6.63</v>
      </c>
      <c r="E447" s="29">
        <f>ROUND(6.53,3)</f>
        <v>6.53</v>
      </c>
      <c r="F447" s="29">
        <f>ROUND(6.58,3)</f>
        <v>6.58</v>
      </c>
      <c r="G447" s="25"/>
      <c r="H447" s="26"/>
    </row>
    <row r="448" spans="1:8" ht="12.75" customHeight="1">
      <c r="A448" s="23">
        <v>43544</v>
      </c>
      <c r="B448" s="23"/>
      <c r="C448" s="29">
        <f t="shared" si="30"/>
        <v>7.05</v>
      </c>
      <c r="D448" s="29">
        <f>ROUND(6.69,3)</f>
        <v>6.69</v>
      </c>
      <c r="E448" s="29">
        <f>ROUND(6.59,3)</f>
        <v>6.59</v>
      </c>
      <c r="F448" s="29">
        <f>ROUND(6.64,3)</f>
        <v>6.64</v>
      </c>
      <c r="G448" s="25"/>
      <c r="H448" s="26"/>
    </row>
    <row r="449" spans="1:8" ht="12.75" customHeight="1">
      <c r="A449" s="23">
        <v>43635</v>
      </c>
      <c r="B449" s="23"/>
      <c r="C449" s="29">
        <f t="shared" si="30"/>
        <v>7.05</v>
      </c>
      <c r="D449" s="29">
        <f>ROUND(6.76,3)</f>
        <v>6.76</v>
      </c>
      <c r="E449" s="29">
        <f>ROUND(6.66,3)</f>
        <v>6.66</v>
      </c>
      <c r="F449" s="29">
        <f>ROUND(6.71,3)</f>
        <v>6.71</v>
      </c>
      <c r="G449" s="25"/>
      <c r="H449" s="26"/>
    </row>
    <row r="450" spans="1:8" ht="12.75" customHeight="1">
      <c r="A450" s="23" t="s">
        <v>93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43041</v>
      </c>
      <c r="B451" s="23"/>
      <c r="C451" s="29">
        <f>ROUND(567.812,3)</f>
        <v>567.812</v>
      </c>
      <c r="D451" s="29">
        <f>F451</f>
        <v>575.319</v>
      </c>
      <c r="E451" s="29">
        <f>F451</f>
        <v>575.319</v>
      </c>
      <c r="F451" s="29">
        <f>ROUND(575.319,3)</f>
        <v>575.319</v>
      </c>
      <c r="G451" s="25"/>
      <c r="H451" s="26"/>
    </row>
    <row r="452" spans="1:8" ht="12.75" customHeight="1">
      <c r="A452" s="23">
        <v>43132</v>
      </c>
      <c r="B452" s="23"/>
      <c r="C452" s="29">
        <f>ROUND(567.812,3)</f>
        <v>567.812</v>
      </c>
      <c r="D452" s="29">
        <f>F452</f>
        <v>585.895</v>
      </c>
      <c r="E452" s="29">
        <f>F452</f>
        <v>585.895</v>
      </c>
      <c r="F452" s="29">
        <f>ROUND(585.895,3)</f>
        <v>585.895</v>
      </c>
      <c r="G452" s="25"/>
      <c r="H452" s="26"/>
    </row>
    <row r="453" spans="1:8" ht="12.75" customHeight="1">
      <c r="A453" s="23">
        <v>43223</v>
      </c>
      <c r="B453" s="23"/>
      <c r="C453" s="29">
        <f>ROUND(567.812,3)</f>
        <v>567.812</v>
      </c>
      <c r="D453" s="29">
        <f>F453</f>
        <v>596.844</v>
      </c>
      <c r="E453" s="29">
        <f>F453</f>
        <v>596.844</v>
      </c>
      <c r="F453" s="29">
        <f>ROUND(596.844,3)</f>
        <v>596.844</v>
      </c>
      <c r="G453" s="25"/>
      <c r="H453" s="26"/>
    </row>
    <row r="454" spans="1:8" ht="12.75" customHeight="1">
      <c r="A454" s="23">
        <v>43314</v>
      </c>
      <c r="B454" s="23"/>
      <c r="C454" s="29">
        <f>ROUND(567.812,3)</f>
        <v>567.812</v>
      </c>
      <c r="D454" s="29">
        <f>F454</f>
        <v>608.084</v>
      </c>
      <c r="E454" s="29">
        <f>F454</f>
        <v>608.084</v>
      </c>
      <c r="F454" s="29">
        <f>ROUND(608.084,3)</f>
        <v>608.084</v>
      </c>
      <c r="G454" s="25"/>
      <c r="H454" s="26"/>
    </row>
    <row r="455" spans="1:8" ht="12.75" customHeight="1">
      <c r="A455" s="23" t="s">
        <v>94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42999</v>
      </c>
      <c r="B456" s="23"/>
      <c r="C456" s="24">
        <f>ROUND(99.7432079767489,5)</f>
        <v>99.74321</v>
      </c>
      <c r="D456" s="24">
        <f>F456</f>
        <v>99.6125</v>
      </c>
      <c r="E456" s="24">
        <f>F456</f>
        <v>99.6125</v>
      </c>
      <c r="F456" s="24">
        <f>ROUND(99.6124977460374,5)</f>
        <v>99.6125</v>
      </c>
      <c r="G456" s="25"/>
      <c r="H456" s="26"/>
    </row>
    <row r="457" spans="1:8" ht="12.75" customHeight="1">
      <c r="A457" s="23" t="s">
        <v>95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43090</v>
      </c>
      <c r="B458" s="23"/>
      <c r="C458" s="24">
        <f>ROUND(99.7432079767489,5)</f>
        <v>99.74321</v>
      </c>
      <c r="D458" s="24">
        <f>F458</f>
        <v>99.74253</v>
      </c>
      <c r="E458" s="24">
        <f>F458</f>
        <v>99.74253</v>
      </c>
      <c r="F458" s="24">
        <f>ROUND(99.7425345305901,5)</f>
        <v>99.74253</v>
      </c>
      <c r="G458" s="25"/>
      <c r="H458" s="26"/>
    </row>
    <row r="459" spans="1:8" ht="12.75" customHeight="1">
      <c r="A459" s="23" t="s">
        <v>96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43174</v>
      </c>
      <c r="B460" s="23"/>
      <c r="C460" s="24">
        <f>ROUND(99.7432079767489,5)</f>
        <v>99.74321</v>
      </c>
      <c r="D460" s="24">
        <f>F460</f>
        <v>99.61631</v>
      </c>
      <c r="E460" s="24">
        <f>F460</f>
        <v>99.61631</v>
      </c>
      <c r="F460" s="24">
        <f>ROUND(99.616311977441,5)</f>
        <v>99.61631</v>
      </c>
      <c r="G460" s="25"/>
      <c r="H460" s="26"/>
    </row>
    <row r="461" spans="1:8" ht="12.75" customHeight="1">
      <c r="A461" s="23" t="s">
        <v>97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43272</v>
      </c>
      <c r="B462" s="23"/>
      <c r="C462" s="24">
        <f>ROUND(99.7432079767489,5)</f>
        <v>99.74321</v>
      </c>
      <c r="D462" s="24">
        <f>F462</f>
        <v>99.6723</v>
      </c>
      <c r="E462" s="24">
        <f>F462</f>
        <v>99.6723</v>
      </c>
      <c r="F462" s="24">
        <f>ROUND(99.6723035593195,5)</f>
        <v>99.6723</v>
      </c>
      <c r="G462" s="25"/>
      <c r="H462" s="26"/>
    </row>
    <row r="463" spans="1:8" ht="12.75" customHeight="1">
      <c r="A463" s="23" t="s">
        <v>98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43363</v>
      </c>
      <c r="B464" s="23"/>
      <c r="C464" s="24">
        <f>ROUND(99.7432079767489,5)</f>
        <v>99.74321</v>
      </c>
      <c r="D464" s="24">
        <f>F464</f>
        <v>99.74321</v>
      </c>
      <c r="E464" s="24">
        <f>F464</f>
        <v>99.74321</v>
      </c>
      <c r="F464" s="24">
        <f>ROUND(99.7432079767489,5)</f>
        <v>99.74321</v>
      </c>
      <c r="G464" s="25"/>
      <c r="H464" s="26"/>
    </row>
    <row r="465" spans="1:8" ht="12.75" customHeight="1">
      <c r="A465" s="23" t="s">
        <v>99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43087</v>
      </c>
      <c r="B466" s="23"/>
      <c r="C466" s="24">
        <f>ROUND(99.3922852997596,5)</f>
        <v>99.39229</v>
      </c>
      <c r="D466" s="24">
        <f>F466</f>
        <v>99.7731</v>
      </c>
      <c r="E466" s="24">
        <f>F466</f>
        <v>99.7731</v>
      </c>
      <c r="F466" s="24">
        <f>ROUND(99.7731027252193,5)</f>
        <v>99.7731</v>
      </c>
      <c r="G466" s="25"/>
      <c r="H466" s="26"/>
    </row>
    <row r="467" spans="1:8" ht="12.75" customHeight="1">
      <c r="A467" s="23" t="s">
        <v>100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43175</v>
      </c>
      <c r="B468" s="23"/>
      <c r="C468" s="24">
        <f>ROUND(99.3922852997596,5)</f>
        <v>99.39229</v>
      </c>
      <c r="D468" s="24">
        <f>F468</f>
        <v>98.89361</v>
      </c>
      <c r="E468" s="24">
        <f>F468</f>
        <v>98.89361</v>
      </c>
      <c r="F468" s="24">
        <f>ROUND(98.8936073423769,5)</f>
        <v>98.89361</v>
      </c>
      <c r="G468" s="25"/>
      <c r="H468" s="26"/>
    </row>
    <row r="469" spans="1:8" ht="12.75" customHeight="1">
      <c r="A469" s="23" t="s">
        <v>101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43266</v>
      </c>
      <c r="B470" s="23"/>
      <c r="C470" s="24">
        <f>ROUND(99.3922852997596,5)</f>
        <v>99.39229</v>
      </c>
      <c r="D470" s="24">
        <f>F470</f>
        <v>98.36509</v>
      </c>
      <c r="E470" s="24">
        <f>F470</f>
        <v>98.36509</v>
      </c>
      <c r="F470" s="24">
        <f>ROUND(98.365086310664,5)</f>
        <v>98.36509</v>
      </c>
      <c r="G470" s="25"/>
      <c r="H470" s="26"/>
    </row>
    <row r="471" spans="1:8" ht="12.75" customHeight="1">
      <c r="A471" s="23" t="s">
        <v>102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43364</v>
      </c>
      <c r="B472" s="23"/>
      <c r="C472" s="24">
        <f>ROUND(99.3922852997596,5)</f>
        <v>99.39229</v>
      </c>
      <c r="D472" s="24">
        <f>F472</f>
        <v>98.20829</v>
      </c>
      <c r="E472" s="24">
        <f>F472</f>
        <v>98.20829</v>
      </c>
      <c r="F472" s="24">
        <f>ROUND(98.208288620647,5)</f>
        <v>98.20829</v>
      </c>
      <c r="G472" s="25"/>
      <c r="H472" s="26"/>
    </row>
    <row r="473" spans="1:8" ht="12.75" customHeight="1">
      <c r="A473" s="23" t="s">
        <v>103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43455</v>
      </c>
      <c r="B474" s="23"/>
      <c r="C474" s="25">
        <f>ROUND(99.3922852997596,2)</f>
        <v>99.39</v>
      </c>
      <c r="D474" s="25">
        <f>F474</f>
        <v>98.48</v>
      </c>
      <c r="E474" s="25">
        <f>F474</f>
        <v>98.48</v>
      </c>
      <c r="F474" s="25">
        <f>ROUND(98.4805818644266,2)</f>
        <v>98.48</v>
      </c>
      <c r="G474" s="25"/>
      <c r="H474" s="26"/>
    </row>
    <row r="475" spans="1:8" ht="12.75" customHeight="1">
      <c r="A475" s="23" t="s">
        <v>104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43539</v>
      </c>
      <c r="B476" s="23"/>
      <c r="C476" s="24">
        <f>ROUND(99.3922852997596,5)</f>
        <v>99.39229</v>
      </c>
      <c r="D476" s="24">
        <f>F476</f>
        <v>98.77269</v>
      </c>
      <c r="E476" s="24">
        <f>F476</f>
        <v>98.77269</v>
      </c>
      <c r="F476" s="24">
        <f>ROUND(98.7726896091116,5)</f>
        <v>98.77269</v>
      </c>
      <c r="G476" s="25"/>
      <c r="H476" s="26"/>
    </row>
    <row r="477" spans="1:8" ht="12.75" customHeight="1">
      <c r="A477" s="23" t="s">
        <v>105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43637</v>
      </c>
      <c r="B478" s="23"/>
      <c r="C478" s="24">
        <f>ROUND(99.3922852997596,5)</f>
        <v>99.39229</v>
      </c>
      <c r="D478" s="24">
        <f>F478</f>
        <v>99.06942</v>
      </c>
      <c r="E478" s="24">
        <f>F478</f>
        <v>99.06942</v>
      </c>
      <c r="F478" s="24">
        <f>ROUND(99.0694177528935,5)</f>
        <v>99.06942</v>
      </c>
      <c r="G478" s="25"/>
      <c r="H478" s="26"/>
    </row>
    <row r="479" spans="1:8" ht="12.75" customHeight="1">
      <c r="A479" s="23" t="s">
        <v>106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43728</v>
      </c>
      <c r="B480" s="23"/>
      <c r="C480" s="24">
        <f>ROUND(99.3922852997596,5)</f>
        <v>99.39229</v>
      </c>
      <c r="D480" s="24">
        <f>F480</f>
        <v>99.39229</v>
      </c>
      <c r="E480" s="24">
        <f>F480</f>
        <v>99.39229</v>
      </c>
      <c r="F480" s="24">
        <f>ROUND(99.3922852997596,5)</f>
        <v>99.39229</v>
      </c>
      <c r="G480" s="25"/>
      <c r="H480" s="26"/>
    </row>
    <row r="481" spans="1:8" ht="12.75" customHeight="1">
      <c r="A481" s="23" t="s">
        <v>107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44182</v>
      </c>
      <c r="B482" s="23"/>
      <c r="C482" s="24">
        <f>ROUND(99.5142774230944,5)</f>
        <v>99.51428</v>
      </c>
      <c r="D482" s="24">
        <f>F482</f>
        <v>95.31549</v>
      </c>
      <c r="E482" s="24">
        <f>F482</f>
        <v>95.31549</v>
      </c>
      <c r="F482" s="24">
        <f>ROUND(95.3154890711448,5)</f>
        <v>95.31549</v>
      </c>
      <c r="G482" s="25"/>
      <c r="H482" s="26"/>
    </row>
    <row r="483" spans="1:8" ht="12.75" customHeight="1">
      <c r="A483" s="23" t="s">
        <v>108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44271</v>
      </c>
      <c r="B484" s="23"/>
      <c r="C484" s="24">
        <f>ROUND(99.5142774230944,5)</f>
        <v>99.51428</v>
      </c>
      <c r="D484" s="24">
        <f>F484</f>
        <v>94.5087</v>
      </c>
      <c r="E484" s="24">
        <f>F484</f>
        <v>94.5087</v>
      </c>
      <c r="F484" s="24">
        <f>ROUND(94.5087037880978,5)</f>
        <v>94.5087</v>
      </c>
      <c r="G484" s="25"/>
      <c r="H484" s="26"/>
    </row>
    <row r="485" spans="1:8" ht="12.75" customHeight="1">
      <c r="A485" s="23" t="s">
        <v>109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44362</v>
      </c>
      <c r="B486" s="23"/>
      <c r="C486" s="24">
        <f>ROUND(99.5142774230944,5)</f>
        <v>99.51428</v>
      </c>
      <c r="D486" s="24">
        <f>F486</f>
        <v>93.68025</v>
      </c>
      <c r="E486" s="24">
        <f>F486</f>
        <v>93.68025</v>
      </c>
      <c r="F486" s="24">
        <f>ROUND(93.6802489290938,5)</f>
        <v>93.68025</v>
      </c>
      <c r="G486" s="25"/>
      <c r="H486" s="26"/>
    </row>
    <row r="487" spans="1:8" ht="12.75" customHeight="1">
      <c r="A487" s="23" t="s">
        <v>110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44460</v>
      </c>
      <c r="B488" s="23"/>
      <c r="C488" s="24">
        <f>ROUND(99.5142774230944,5)</f>
        <v>99.51428</v>
      </c>
      <c r="D488" s="24">
        <f>F488</f>
        <v>93.83627</v>
      </c>
      <c r="E488" s="24">
        <f>F488</f>
        <v>93.83627</v>
      </c>
      <c r="F488" s="24">
        <f>ROUND(93.8362696889464,5)</f>
        <v>93.83627</v>
      </c>
      <c r="G488" s="25"/>
      <c r="H488" s="26"/>
    </row>
    <row r="489" spans="1:8" ht="12.75" customHeight="1">
      <c r="A489" s="23" t="s">
        <v>111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44551</v>
      </c>
      <c r="B490" s="23"/>
      <c r="C490" s="24">
        <f>ROUND(99.5142774230944,5)</f>
        <v>99.51428</v>
      </c>
      <c r="D490" s="24">
        <f>F490</f>
        <v>96.01279</v>
      </c>
      <c r="E490" s="24">
        <f>F490</f>
        <v>96.01279</v>
      </c>
      <c r="F490" s="24">
        <f>ROUND(96.0127885122077,5)</f>
        <v>96.01279</v>
      </c>
      <c r="G490" s="25"/>
      <c r="H490" s="26"/>
    </row>
    <row r="491" spans="1:8" ht="12.75" customHeight="1">
      <c r="A491" s="23" t="s">
        <v>112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44635</v>
      </c>
      <c r="B492" s="23"/>
      <c r="C492" s="24">
        <f>ROUND(99.5142774230944,5)</f>
        <v>99.51428</v>
      </c>
      <c r="D492" s="24">
        <f>F492</f>
        <v>96.121</v>
      </c>
      <c r="E492" s="24">
        <f>F492</f>
        <v>96.121</v>
      </c>
      <c r="F492" s="24">
        <f>ROUND(96.1209998396904,5)</f>
        <v>96.121</v>
      </c>
      <c r="G492" s="25"/>
      <c r="H492" s="26"/>
    </row>
    <row r="493" spans="1:8" ht="12.75" customHeight="1">
      <c r="A493" s="23" t="s">
        <v>113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44733</v>
      </c>
      <c r="B494" s="23"/>
      <c r="C494" s="24">
        <f>ROUND(99.5142774230944,5)</f>
        <v>99.51428</v>
      </c>
      <c r="D494" s="24">
        <f>F494</f>
        <v>97.30953</v>
      </c>
      <c r="E494" s="24">
        <f>F494</f>
        <v>97.30953</v>
      </c>
      <c r="F494" s="24">
        <f>ROUND(97.3095274411139,5)</f>
        <v>97.30953</v>
      </c>
      <c r="G494" s="25"/>
      <c r="H494" s="26"/>
    </row>
    <row r="495" spans="1:8" ht="12.75" customHeight="1">
      <c r="A495" s="23" t="s">
        <v>114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44824</v>
      </c>
      <c r="B496" s="23"/>
      <c r="C496" s="24">
        <f>ROUND(99.5142774230944,5)</f>
        <v>99.51428</v>
      </c>
      <c r="D496" s="24">
        <f>F496</f>
        <v>99.51428</v>
      </c>
      <c r="E496" s="24">
        <f>F496</f>
        <v>99.51428</v>
      </c>
      <c r="F496" s="24">
        <f>ROUND(99.5142774230944,5)</f>
        <v>99.51428</v>
      </c>
      <c r="G496" s="25"/>
      <c r="H496" s="26"/>
    </row>
    <row r="497" spans="1:8" ht="12.75" customHeight="1">
      <c r="A497" s="23" t="s">
        <v>115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46008</v>
      </c>
      <c r="B498" s="23"/>
      <c r="C498" s="24">
        <f>ROUND(100.30975309247,5)</f>
        <v>100.30975</v>
      </c>
      <c r="D498" s="24">
        <f>F498</f>
        <v>94.23077</v>
      </c>
      <c r="E498" s="24">
        <f>F498</f>
        <v>94.23077</v>
      </c>
      <c r="F498" s="24">
        <f>ROUND(94.23077222408,5)</f>
        <v>94.23077</v>
      </c>
      <c r="G498" s="25"/>
      <c r="H498" s="26"/>
    </row>
    <row r="499" spans="1:8" ht="12.75" customHeight="1">
      <c r="A499" s="23" t="s">
        <v>116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46097</v>
      </c>
      <c r="B500" s="23"/>
      <c r="C500" s="24">
        <f>ROUND(100.30975309247,5)</f>
        <v>100.30975</v>
      </c>
      <c r="D500" s="24">
        <f>F500</f>
        <v>91.22484</v>
      </c>
      <c r="E500" s="24">
        <f>F500</f>
        <v>91.22484</v>
      </c>
      <c r="F500" s="24">
        <f>ROUND(91.2248405452746,5)</f>
        <v>91.22484</v>
      </c>
      <c r="G500" s="25"/>
      <c r="H500" s="26"/>
    </row>
    <row r="501" spans="1:8" ht="12.75" customHeight="1">
      <c r="A501" s="23" t="s">
        <v>117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46188</v>
      </c>
      <c r="B502" s="23"/>
      <c r="C502" s="24">
        <f>ROUND(100.30975309247,5)</f>
        <v>100.30975</v>
      </c>
      <c r="D502" s="24">
        <f>F502</f>
        <v>89.96916</v>
      </c>
      <c r="E502" s="24">
        <f>F502</f>
        <v>89.96916</v>
      </c>
      <c r="F502" s="24">
        <f>ROUND(89.9691599007163,5)</f>
        <v>89.96916</v>
      </c>
      <c r="G502" s="25"/>
      <c r="H502" s="26"/>
    </row>
    <row r="503" spans="1:8" ht="12.75" customHeight="1">
      <c r="A503" s="23" t="s">
        <v>118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46286</v>
      </c>
      <c r="B504" s="23"/>
      <c r="C504" s="24">
        <f>ROUND(100.30975309247,5)</f>
        <v>100.30975</v>
      </c>
      <c r="D504" s="24">
        <f>F504</f>
        <v>92.14422</v>
      </c>
      <c r="E504" s="24">
        <f>F504</f>
        <v>92.14422</v>
      </c>
      <c r="F504" s="24">
        <f>ROUND(92.1442176909348,5)</f>
        <v>92.14422</v>
      </c>
      <c r="G504" s="25"/>
      <c r="H504" s="26"/>
    </row>
    <row r="505" spans="1:8" ht="12.75" customHeight="1">
      <c r="A505" s="23" t="s">
        <v>119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46377</v>
      </c>
      <c r="B506" s="23"/>
      <c r="C506" s="24">
        <f>ROUND(100.30975309247,5)</f>
        <v>100.30975</v>
      </c>
      <c r="D506" s="24">
        <f>F506</f>
        <v>95.93964</v>
      </c>
      <c r="E506" s="24">
        <f>F506</f>
        <v>95.93964</v>
      </c>
      <c r="F506" s="24">
        <f>ROUND(95.9396362176894,5)</f>
        <v>95.93964</v>
      </c>
      <c r="G506" s="25"/>
      <c r="H506" s="26"/>
    </row>
    <row r="507" spans="1:8" ht="12.75" customHeight="1">
      <c r="A507" s="23" t="s">
        <v>120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46461</v>
      </c>
      <c r="B508" s="23"/>
      <c r="C508" s="24">
        <f>ROUND(100.30975309247,5)</f>
        <v>100.30975</v>
      </c>
      <c r="D508" s="24">
        <f>F508</f>
        <v>94.49073</v>
      </c>
      <c r="E508" s="24">
        <f>F508</f>
        <v>94.49073</v>
      </c>
      <c r="F508" s="24">
        <f>ROUND(94.4907307283011,5)</f>
        <v>94.49073</v>
      </c>
      <c r="G508" s="25"/>
      <c r="H508" s="26"/>
    </row>
    <row r="509" spans="1:8" ht="12.75" customHeight="1">
      <c r="A509" s="23" t="s">
        <v>121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46559</v>
      </c>
      <c r="B510" s="23"/>
      <c r="C510" s="24">
        <f>ROUND(100.30975309247,5)</f>
        <v>100.30975</v>
      </c>
      <c r="D510" s="24">
        <f>F510</f>
        <v>96.57195</v>
      </c>
      <c r="E510" s="24">
        <f>F510</f>
        <v>96.57195</v>
      </c>
      <c r="F510" s="24">
        <f>ROUND(96.5719471054659,5)</f>
        <v>96.57195</v>
      </c>
      <c r="G510" s="25"/>
      <c r="H510" s="26"/>
    </row>
    <row r="511" spans="1:8" ht="12.75" customHeight="1">
      <c r="A511" s="23" t="s">
        <v>122</v>
      </c>
      <c r="B511" s="23"/>
      <c r="C511" s="27"/>
      <c r="D511" s="27"/>
      <c r="E511" s="27"/>
      <c r="F511" s="27"/>
      <c r="G511" s="25"/>
      <c r="H511" s="26"/>
    </row>
    <row r="512" spans="1:8" ht="12.75" customHeight="1" thickBot="1">
      <c r="A512" s="31">
        <v>46650</v>
      </c>
      <c r="B512" s="31"/>
      <c r="C512" s="32">
        <f>ROUND(100.30975309247,5)</f>
        <v>100.30975</v>
      </c>
      <c r="D512" s="32">
        <f>F512</f>
        <v>100.30975</v>
      </c>
      <c r="E512" s="32">
        <f>F512</f>
        <v>100.30975</v>
      </c>
      <c r="F512" s="32">
        <f>ROUND(100.30975309247,5)</f>
        <v>100.30975</v>
      </c>
      <c r="G512" s="33"/>
      <c r="H512" s="34"/>
    </row>
  </sheetData>
  <sheetProtection/>
  <mergeCells count="5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507:B507"/>
    <mergeCell ref="A496:B496"/>
    <mergeCell ref="A497:B497"/>
    <mergeCell ref="A498:B498"/>
    <mergeCell ref="A499:B499"/>
    <mergeCell ref="A500:B500"/>
    <mergeCell ref="A501:B501"/>
    <mergeCell ref="A508:B508"/>
    <mergeCell ref="A509:B509"/>
    <mergeCell ref="A510:B510"/>
    <mergeCell ref="A511:B511"/>
    <mergeCell ref="A512:B512"/>
    <mergeCell ref="A502:B502"/>
    <mergeCell ref="A503:B503"/>
    <mergeCell ref="A504:B504"/>
    <mergeCell ref="A505:B505"/>
    <mergeCell ref="A506:B5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2017-08-28T16:03:52Z</dcterms:modified>
  <cp:category/>
  <cp:version/>
  <cp:contentType/>
  <cp:contentStatus/>
</cp:coreProperties>
</file>