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'Jerry'!$A$1:$H$539</definedName>
  </definedNames>
  <calcPr fullCalcOnLoad="1"/>
</workbook>
</file>

<file path=xl/sharedStrings.xml><?xml version="1.0" encoding="utf-8"?>
<sst xmlns="http://schemas.openxmlformats.org/spreadsheetml/2006/main" count="120" uniqueCount="120">
  <si>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</si>
  <si>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</si>
  <si>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</si>
  <si>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</si>
  <si>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</si>
  <si>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</si>
  <si>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</si>
  <si>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</si>
  <si>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</si>
  <si>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</si>
  <si>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</si>
  <si>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</si>
  <si>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</si>
  <si>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</si>
  <si>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</si>
  <si>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</si>
  <si>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</si>
  <si>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</si>
  <si>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</si>
  <si>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</si>
  <si>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</si>
  <si>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</si>
  <si>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</si>
  <si>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</si>
  <si>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</si>
  <si>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</si>
  <si>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</si>
  <si>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</si>
  <si>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</si>
  <si>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</si>
  <si>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</si>
  <si>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</si>
  <si>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</si>
  <si>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</si>
  <si>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</si>
  <si>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</si>
  <si>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</si>
  <si>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</si>
  <si>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</si>
  <si>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</si>
  <si>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</si>
  <si>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</si>
  <si>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</si>
  <si>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</si>
  <si>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</si>
  <si>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</si>
  <si>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</si>
  <si>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</si>
  <si>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</si>
  <si>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</si>
  <si>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</si>
  <si>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</si>
  <si>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</si>
  <si>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</si>
  <si>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</si>
  <si>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</si>
  <si>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</si>
  <si>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</si>
  <si>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DAAD AUD  (DAAD)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</si>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</sst>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8"/>
  <sheetViews>
    <sheetView tabSelected="1" zoomScaleSheetLayoutView="75" zoomScalePageLayoutView="0" workbookViewId="0" topLeftCell="A1">
      <selection activeCell="J15" sqref="J15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43011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ROUND(2.39,5)</f>
        <v>2.39</v>
      </c>
      <c r="D6" s="24">
        <f>F6</f>
        <v>2.39</v>
      </c>
      <c r="E6" s="24">
        <f>F6</f>
        <v>2.39</v>
      </c>
      <c r="F6" s="24">
        <f>ROUND(2.39,5)</f>
        <v>2.39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ROUND(2.49,5)</f>
        <v>2.49</v>
      </c>
      <c r="D8" s="24">
        <f>F8</f>
        <v>2.49</v>
      </c>
      <c r="E8" s="24">
        <f>F8</f>
        <v>2.49</v>
      </c>
      <c r="F8" s="24">
        <f>ROUND(2.49,5)</f>
        <v>2.49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ROUND(2.55,5)</f>
        <v>2.55</v>
      </c>
      <c r="D10" s="24">
        <f>F10</f>
        <v>2.55</v>
      </c>
      <c r="E10" s="24">
        <f>F10</f>
        <v>2.55</v>
      </c>
      <c r="F10" s="24">
        <f>ROUND(2.55,5)</f>
        <v>2.55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ROUND(3.2,5)</f>
        <v>3.2</v>
      </c>
      <c r="D12" s="24">
        <f>F12</f>
        <v>3.2</v>
      </c>
      <c r="E12" s="24">
        <f>F12</f>
        <v>3.2</v>
      </c>
      <c r="F12" s="24">
        <f>ROUND(3.2,5)</f>
        <v>3.2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ROUND(10.78,5)</f>
        <v>10.78</v>
      </c>
      <c r="D14" s="24">
        <f>F14</f>
        <v>10.78</v>
      </c>
      <c r="E14" s="24">
        <f>F14</f>
        <v>10.78</v>
      </c>
      <c r="F14" s="24">
        <f>ROUND(10.78,5)</f>
        <v>10.78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ROUND(8.01,5)</f>
        <v>8.01</v>
      </c>
      <c r="D16" s="24">
        <f>F16</f>
        <v>8.01</v>
      </c>
      <c r="E16" s="24">
        <f>F16</f>
        <v>8.01</v>
      </c>
      <c r="F16" s="24">
        <f>ROUND(8.01,5)</f>
        <v>8.01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ROUND(8.655,3)</f>
        <v>8.655</v>
      </c>
      <c r="D18" s="29">
        <f>F18</f>
        <v>8.655</v>
      </c>
      <c r="E18" s="29">
        <f>F18</f>
        <v>8.655</v>
      </c>
      <c r="F18" s="29">
        <f>ROUND(8.655,3)</f>
        <v>8.655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ROUND(2.36,3)</f>
        <v>2.36</v>
      </c>
      <c r="D20" s="29">
        <f>F20</f>
        <v>2.36</v>
      </c>
      <c r="E20" s="29">
        <f>F20</f>
        <v>2.36</v>
      </c>
      <c r="F20" s="29">
        <f>ROUND(2.36,3)</f>
        <v>2.36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ROUND(2.495,3)</f>
        <v>2.495</v>
      </c>
      <c r="D22" s="29">
        <f>F22</f>
        <v>2.495</v>
      </c>
      <c r="E22" s="29">
        <f>F22</f>
        <v>2.495</v>
      </c>
      <c r="F22" s="29">
        <f>ROUND(2.495,3)</f>
        <v>2.495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43455</v>
      </c>
      <c r="B24" s="23"/>
      <c r="C24" s="29">
        <f>ROUND(7.08,3)</f>
        <v>7.08</v>
      </c>
      <c r="D24" s="29">
        <f>F24</f>
        <v>7.08</v>
      </c>
      <c r="E24" s="29">
        <f>F24</f>
        <v>7.08</v>
      </c>
      <c r="F24" s="29">
        <f>ROUND(7.08,3)</f>
        <v>7.08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43845</v>
      </c>
      <c r="B26" s="23"/>
      <c r="C26" s="29">
        <f>ROUND(7.385,3)</f>
        <v>7.385</v>
      </c>
      <c r="D26" s="29">
        <f>F26</f>
        <v>7.385</v>
      </c>
      <c r="E26" s="29">
        <f>F26</f>
        <v>7.385</v>
      </c>
      <c r="F26" s="29">
        <f>ROUND(7.385,3)</f>
        <v>7.385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44286</v>
      </c>
      <c r="B28" s="23"/>
      <c r="C28" s="29">
        <f>ROUND(7.605,3)</f>
        <v>7.605</v>
      </c>
      <c r="D28" s="29">
        <f>F28</f>
        <v>7.605</v>
      </c>
      <c r="E28" s="29">
        <f>F28</f>
        <v>7.605</v>
      </c>
      <c r="F28" s="29">
        <f>ROUND(7.605,3)</f>
        <v>7.605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49765</v>
      </c>
      <c r="B30" s="23"/>
      <c r="C30" s="29">
        <f>ROUND(9.575,3)</f>
        <v>9.575</v>
      </c>
      <c r="D30" s="29">
        <f>F30</f>
        <v>9.575</v>
      </c>
      <c r="E30" s="29">
        <f>F30</f>
        <v>9.575</v>
      </c>
      <c r="F30" s="29">
        <f>ROUND(9.575,3)</f>
        <v>9.575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46843</v>
      </c>
      <c r="B32" s="23"/>
      <c r="C32" s="29">
        <f>ROUND(2.48,3)</f>
        <v>2.48</v>
      </c>
      <c r="D32" s="29">
        <f>F32</f>
        <v>2.48</v>
      </c>
      <c r="E32" s="29">
        <f>F32</f>
        <v>2.48</v>
      </c>
      <c r="F32" s="29">
        <f>ROUND(2.48,3)</f>
        <v>2.48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44592</v>
      </c>
      <c r="B34" s="23"/>
      <c r="C34" s="29">
        <f>ROUND(2.315,3)</f>
        <v>2.315</v>
      </c>
      <c r="D34" s="29">
        <f>F34</f>
        <v>2.315</v>
      </c>
      <c r="E34" s="29">
        <f>F34</f>
        <v>2.315</v>
      </c>
      <c r="F34" s="29">
        <f>ROUND(2.315,3)</f>
        <v>2.315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47907</v>
      </c>
      <c r="B36" s="23"/>
      <c r="C36" s="29">
        <f>ROUND(9.295,3)</f>
        <v>9.295</v>
      </c>
      <c r="D36" s="29">
        <f>F36</f>
        <v>9.295</v>
      </c>
      <c r="E36" s="29">
        <f>F36</f>
        <v>9.295</v>
      </c>
      <c r="F36" s="29">
        <f>ROUND(9.295,3)</f>
        <v>9.295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43041</v>
      </c>
      <c r="B38" s="23"/>
      <c r="C38" s="24">
        <f>ROUND(2.39,5)</f>
        <v>2.39</v>
      </c>
      <c r="D38" s="24">
        <f>F38</f>
        <v>130.47715</v>
      </c>
      <c r="E38" s="24">
        <f>F38</f>
        <v>130.47715</v>
      </c>
      <c r="F38" s="24">
        <f>ROUND(130.47715,5)</f>
        <v>130.47715</v>
      </c>
      <c r="G38" s="25"/>
      <c r="H38" s="26"/>
    </row>
    <row r="39" spans="1:8" ht="12.75" customHeight="1">
      <c r="A39" s="23">
        <v>43132</v>
      </c>
      <c r="B39" s="23"/>
      <c r="C39" s="24">
        <f>ROUND(2.39,5)</f>
        <v>2.39</v>
      </c>
      <c r="D39" s="24">
        <f>F39</f>
        <v>131.58241</v>
      </c>
      <c r="E39" s="24">
        <f>F39</f>
        <v>131.58241</v>
      </c>
      <c r="F39" s="24">
        <f>ROUND(131.58241,5)</f>
        <v>131.58241</v>
      </c>
      <c r="G39" s="25"/>
      <c r="H39" s="26"/>
    </row>
    <row r="40" spans="1:8" ht="12.75" customHeight="1">
      <c r="A40" s="23">
        <v>43223</v>
      </c>
      <c r="B40" s="23"/>
      <c r="C40" s="24">
        <f>ROUND(2.39,5)</f>
        <v>2.39</v>
      </c>
      <c r="D40" s="24">
        <f>F40</f>
        <v>134.07769</v>
      </c>
      <c r="E40" s="24">
        <f>F40</f>
        <v>134.07769</v>
      </c>
      <c r="F40" s="24">
        <f>ROUND(134.07769,5)</f>
        <v>134.07769</v>
      </c>
      <c r="G40" s="25"/>
      <c r="H40" s="26"/>
    </row>
    <row r="41" spans="1:8" ht="12.75" customHeight="1">
      <c r="A41" s="23">
        <v>43314</v>
      </c>
      <c r="B41" s="23"/>
      <c r="C41" s="24">
        <f>ROUND(2.39,5)</f>
        <v>2.39</v>
      </c>
      <c r="D41" s="24">
        <f>F41</f>
        <v>136.62883</v>
      </c>
      <c r="E41" s="24">
        <f>F41</f>
        <v>136.62883</v>
      </c>
      <c r="F41" s="24">
        <f>ROUND(136.62883,5)</f>
        <v>136.62883</v>
      </c>
      <c r="G41" s="25"/>
      <c r="H41" s="26"/>
    </row>
    <row r="42" spans="1:8" ht="12.75" customHeight="1">
      <c r="A42" s="23">
        <v>43405</v>
      </c>
      <c r="B42" s="23"/>
      <c r="C42" s="24">
        <f>ROUND(2.39,5)</f>
        <v>2.39</v>
      </c>
      <c r="D42" s="24">
        <f>F42</f>
        <v>139.16552</v>
      </c>
      <c r="E42" s="24">
        <f>F42</f>
        <v>139.16552</v>
      </c>
      <c r="F42" s="24">
        <f>ROUND(139.16552,5)</f>
        <v>139.16552</v>
      </c>
      <c r="G42" s="25"/>
      <c r="H42" s="26"/>
    </row>
    <row r="43" spans="1:8" ht="12.75" customHeight="1">
      <c r="A43" s="23" t="s">
        <v>29</v>
      </c>
      <c r="B43" s="23"/>
      <c r="C43" s="28"/>
      <c r="D43" s="28"/>
      <c r="E43" s="28"/>
      <c r="F43" s="28"/>
      <c r="G43" s="25"/>
      <c r="H43" s="26"/>
    </row>
    <row r="44" spans="1:8" ht="12.75" customHeight="1">
      <c r="A44" s="23">
        <v>43041</v>
      </c>
      <c r="B44" s="23"/>
      <c r="C44" s="24">
        <f>ROUND(98.90595,5)</f>
        <v>98.90595</v>
      </c>
      <c r="D44" s="24">
        <f>F44</f>
        <v>99.54084</v>
      </c>
      <c r="E44" s="24">
        <f>F44</f>
        <v>99.54084</v>
      </c>
      <c r="F44" s="24">
        <f>ROUND(99.54084,5)</f>
        <v>99.54084</v>
      </c>
      <c r="G44" s="25"/>
      <c r="H44" s="26"/>
    </row>
    <row r="45" spans="1:8" ht="12.75" customHeight="1">
      <c r="A45" s="23">
        <v>43132</v>
      </c>
      <c r="B45" s="23"/>
      <c r="C45" s="24">
        <f>ROUND(98.90595,5)</f>
        <v>98.90595</v>
      </c>
      <c r="D45" s="24">
        <f>F45</f>
        <v>101.40451</v>
      </c>
      <c r="E45" s="24">
        <f>F45</f>
        <v>101.40451</v>
      </c>
      <c r="F45" s="24">
        <f>ROUND(101.40451,5)</f>
        <v>101.40451</v>
      </c>
      <c r="G45" s="25"/>
      <c r="H45" s="26"/>
    </row>
    <row r="46" spans="1:8" ht="12.75" customHeight="1">
      <c r="A46" s="23">
        <v>43223</v>
      </c>
      <c r="B46" s="23"/>
      <c r="C46" s="24">
        <f>ROUND(98.90595,5)</f>
        <v>98.90595</v>
      </c>
      <c r="D46" s="24">
        <f>F46</f>
        <v>102.3105</v>
      </c>
      <c r="E46" s="24">
        <f>F46</f>
        <v>102.3105</v>
      </c>
      <c r="F46" s="24">
        <f>ROUND(102.3105,5)</f>
        <v>102.3105</v>
      </c>
      <c r="G46" s="25"/>
      <c r="H46" s="26"/>
    </row>
    <row r="47" spans="1:8" ht="12.75" customHeight="1">
      <c r="A47" s="23">
        <v>43314</v>
      </c>
      <c r="B47" s="23"/>
      <c r="C47" s="24">
        <f>ROUND(98.90595,5)</f>
        <v>98.90595</v>
      </c>
      <c r="D47" s="24">
        <f>F47</f>
        <v>104.25713</v>
      </c>
      <c r="E47" s="24">
        <f>F47</f>
        <v>104.25713</v>
      </c>
      <c r="F47" s="24">
        <f>ROUND(104.25713,5)</f>
        <v>104.25713</v>
      </c>
      <c r="G47" s="25"/>
      <c r="H47" s="26"/>
    </row>
    <row r="48" spans="1:8" ht="12.75" customHeight="1">
      <c r="A48" s="23">
        <v>43405</v>
      </c>
      <c r="B48" s="23"/>
      <c r="C48" s="24">
        <f>ROUND(98.90595,5)</f>
        <v>98.90595</v>
      </c>
      <c r="D48" s="24">
        <f>F48</f>
        <v>106.19264</v>
      </c>
      <c r="E48" s="24">
        <f>F48</f>
        <v>106.19264</v>
      </c>
      <c r="F48" s="24">
        <f>ROUND(106.19264,5)</f>
        <v>106.19264</v>
      </c>
      <c r="G48" s="25"/>
      <c r="H48" s="26"/>
    </row>
    <row r="49" spans="1:8" ht="12.75" customHeight="1">
      <c r="A49" s="23" t="s">
        <v>30</v>
      </c>
      <c r="B49" s="23"/>
      <c r="C49" s="28"/>
      <c r="D49" s="28"/>
      <c r="E49" s="28"/>
      <c r="F49" s="28"/>
      <c r="G49" s="25"/>
      <c r="H49" s="26"/>
    </row>
    <row r="50" spans="1:8" ht="12.75" customHeight="1">
      <c r="A50" s="23">
        <v>43041</v>
      </c>
      <c r="B50" s="23"/>
      <c r="C50" s="24">
        <f>ROUND(9.22,5)</f>
        <v>9.22</v>
      </c>
      <c r="D50" s="24">
        <f>F50</f>
        <v>9.2404</v>
      </c>
      <c r="E50" s="24">
        <f>F50</f>
        <v>9.2404</v>
      </c>
      <c r="F50" s="24">
        <f>ROUND(9.2404,5)</f>
        <v>9.2404</v>
      </c>
      <c r="G50" s="25"/>
      <c r="H50" s="26"/>
    </row>
    <row r="51" spans="1:8" ht="12.75" customHeight="1">
      <c r="A51" s="23">
        <v>43132</v>
      </c>
      <c r="B51" s="23"/>
      <c r="C51" s="24">
        <f>ROUND(9.22,5)</f>
        <v>9.22</v>
      </c>
      <c r="D51" s="24">
        <f>F51</f>
        <v>9.29916</v>
      </c>
      <c r="E51" s="24">
        <f>F51</f>
        <v>9.29916</v>
      </c>
      <c r="F51" s="24">
        <f>ROUND(9.29916,5)</f>
        <v>9.29916</v>
      </c>
      <c r="G51" s="25"/>
      <c r="H51" s="26"/>
    </row>
    <row r="52" spans="1:8" ht="12.75" customHeight="1">
      <c r="A52" s="23">
        <v>43223</v>
      </c>
      <c r="B52" s="23"/>
      <c r="C52" s="24">
        <f>ROUND(9.22,5)</f>
        <v>9.22</v>
      </c>
      <c r="D52" s="24">
        <f>F52</f>
        <v>9.36152</v>
      </c>
      <c r="E52" s="24">
        <f>F52</f>
        <v>9.36152</v>
      </c>
      <c r="F52" s="24">
        <f>ROUND(9.36152,5)</f>
        <v>9.36152</v>
      </c>
      <c r="G52" s="25"/>
      <c r="H52" s="26"/>
    </row>
    <row r="53" spans="1:8" ht="12.75" customHeight="1">
      <c r="A53" s="23">
        <v>43314</v>
      </c>
      <c r="B53" s="23"/>
      <c r="C53" s="24">
        <f>ROUND(9.22,5)</f>
        <v>9.22</v>
      </c>
      <c r="D53" s="24">
        <f>F53</f>
        <v>9.42609</v>
      </c>
      <c r="E53" s="24">
        <f>F53</f>
        <v>9.42609</v>
      </c>
      <c r="F53" s="24">
        <f>ROUND(9.42609,5)</f>
        <v>9.42609</v>
      </c>
      <c r="G53" s="25"/>
      <c r="H53" s="26"/>
    </row>
    <row r="54" spans="1:8" ht="12.75" customHeight="1">
      <c r="A54" s="23">
        <v>43405</v>
      </c>
      <c r="B54" s="23"/>
      <c r="C54" s="24">
        <f>ROUND(9.22,5)</f>
        <v>9.22</v>
      </c>
      <c r="D54" s="24">
        <f>F54</f>
        <v>9.48526</v>
      </c>
      <c r="E54" s="24">
        <f>F54</f>
        <v>9.48526</v>
      </c>
      <c r="F54" s="24">
        <f>ROUND(9.48526,5)</f>
        <v>9.48526</v>
      </c>
      <c r="G54" s="25"/>
      <c r="H54" s="26"/>
    </row>
    <row r="55" spans="1:8" ht="12.75" customHeight="1">
      <c r="A55" s="23" t="s">
        <v>31</v>
      </c>
      <c r="B55" s="23"/>
      <c r="C55" s="28"/>
      <c r="D55" s="28"/>
      <c r="E55" s="28"/>
      <c r="F55" s="28"/>
      <c r="G55" s="25"/>
      <c r="H55" s="26"/>
    </row>
    <row r="56" spans="1:8" ht="12.75" customHeight="1">
      <c r="A56" s="23">
        <v>43041</v>
      </c>
      <c r="B56" s="23"/>
      <c r="C56" s="24">
        <f>ROUND(9.45,5)</f>
        <v>9.45</v>
      </c>
      <c r="D56" s="24">
        <f>F56</f>
        <v>9.47228</v>
      </c>
      <c r="E56" s="24">
        <f>F56</f>
        <v>9.47228</v>
      </c>
      <c r="F56" s="24">
        <f>ROUND(9.47228,5)</f>
        <v>9.47228</v>
      </c>
      <c r="G56" s="25"/>
      <c r="H56" s="26"/>
    </row>
    <row r="57" spans="1:8" ht="12.75" customHeight="1">
      <c r="A57" s="23">
        <v>43132</v>
      </c>
      <c r="B57" s="23"/>
      <c r="C57" s="24">
        <f>ROUND(9.45,5)</f>
        <v>9.45</v>
      </c>
      <c r="D57" s="24">
        <f>F57</f>
        <v>9.53646</v>
      </c>
      <c r="E57" s="24">
        <f>F57</f>
        <v>9.53646</v>
      </c>
      <c r="F57" s="24">
        <f>ROUND(9.53646,5)</f>
        <v>9.53646</v>
      </c>
      <c r="G57" s="25"/>
      <c r="H57" s="26"/>
    </row>
    <row r="58" spans="1:8" ht="12.75" customHeight="1">
      <c r="A58" s="23">
        <v>43223</v>
      </c>
      <c r="B58" s="23"/>
      <c r="C58" s="24">
        <f>ROUND(9.45,5)</f>
        <v>9.45</v>
      </c>
      <c r="D58" s="24">
        <f>F58</f>
        <v>9.60016</v>
      </c>
      <c r="E58" s="24">
        <f>F58</f>
        <v>9.60016</v>
      </c>
      <c r="F58" s="24">
        <f>ROUND(9.60016,5)</f>
        <v>9.60016</v>
      </c>
      <c r="G58" s="25"/>
      <c r="H58" s="26"/>
    </row>
    <row r="59" spans="1:8" ht="12.75" customHeight="1">
      <c r="A59" s="23">
        <v>43314</v>
      </c>
      <c r="B59" s="23"/>
      <c r="C59" s="24">
        <f>ROUND(9.45,5)</f>
        <v>9.45</v>
      </c>
      <c r="D59" s="24">
        <f>F59</f>
        <v>9.66384</v>
      </c>
      <c r="E59" s="24">
        <f>F59</f>
        <v>9.66384</v>
      </c>
      <c r="F59" s="24">
        <f>ROUND(9.66384,5)</f>
        <v>9.66384</v>
      </c>
      <c r="G59" s="25"/>
      <c r="H59" s="26"/>
    </row>
    <row r="60" spans="1:8" ht="12.75" customHeight="1">
      <c r="A60" s="23">
        <v>43405</v>
      </c>
      <c r="B60" s="23"/>
      <c r="C60" s="24">
        <f>ROUND(9.45,5)</f>
        <v>9.45</v>
      </c>
      <c r="D60" s="24">
        <f>F60</f>
        <v>9.72907</v>
      </c>
      <c r="E60" s="24">
        <f>F60</f>
        <v>9.72907</v>
      </c>
      <c r="F60" s="24">
        <f>ROUND(9.72907,5)</f>
        <v>9.72907</v>
      </c>
      <c r="G60" s="25"/>
      <c r="H60" s="26"/>
    </row>
    <row r="61" spans="1:8" ht="12.75" customHeight="1">
      <c r="A61" s="23" t="s">
        <v>32</v>
      </c>
      <c r="B61" s="23"/>
      <c r="C61" s="28"/>
      <c r="D61" s="28"/>
      <c r="E61" s="28"/>
      <c r="F61" s="28"/>
      <c r="G61" s="25"/>
      <c r="H61" s="26"/>
    </row>
    <row r="62" spans="1:8" ht="12.75" customHeight="1">
      <c r="A62" s="23">
        <v>43041</v>
      </c>
      <c r="B62" s="23"/>
      <c r="C62" s="24">
        <f>ROUND(104.48546,5)</f>
        <v>104.48546</v>
      </c>
      <c r="D62" s="24">
        <f>F62</f>
        <v>105.15612</v>
      </c>
      <c r="E62" s="24">
        <f>F62</f>
        <v>105.15612</v>
      </c>
      <c r="F62" s="24">
        <f>ROUND(105.15612,5)</f>
        <v>105.15612</v>
      </c>
      <c r="G62" s="25"/>
      <c r="H62" s="26"/>
    </row>
    <row r="63" spans="1:8" ht="12.75" customHeight="1">
      <c r="A63" s="23">
        <v>43132</v>
      </c>
      <c r="B63" s="23"/>
      <c r="C63" s="24">
        <f>ROUND(104.48546,5)</f>
        <v>104.48546</v>
      </c>
      <c r="D63" s="24">
        <f>F63</f>
        <v>107.12496</v>
      </c>
      <c r="E63" s="24">
        <f>F63</f>
        <v>107.12496</v>
      </c>
      <c r="F63" s="24">
        <f>ROUND(107.12496,5)</f>
        <v>107.12496</v>
      </c>
      <c r="G63" s="25"/>
      <c r="H63" s="26"/>
    </row>
    <row r="64" spans="1:8" ht="12.75" customHeight="1">
      <c r="A64" s="23">
        <v>43223</v>
      </c>
      <c r="B64" s="23"/>
      <c r="C64" s="24">
        <f>ROUND(104.48546,5)</f>
        <v>104.48546</v>
      </c>
      <c r="D64" s="24">
        <f>F64</f>
        <v>108.06978</v>
      </c>
      <c r="E64" s="24">
        <f>F64</f>
        <v>108.06978</v>
      </c>
      <c r="F64" s="24">
        <f>ROUND(108.06978,5)</f>
        <v>108.06978</v>
      </c>
      <c r="G64" s="25"/>
      <c r="H64" s="26"/>
    </row>
    <row r="65" spans="1:8" ht="12.75" customHeight="1">
      <c r="A65" s="23">
        <v>43314</v>
      </c>
      <c r="B65" s="23"/>
      <c r="C65" s="24">
        <f>ROUND(104.48546,5)</f>
        <v>104.48546</v>
      </c>
      <c r="D65" s="24">
        <f>F65</f>
        <v>110.12602</v>
      </c>
      <c r="E65" s="24">
        <f>F65</f>
        <v>110.12602</v>
      </c>
      <c r="F65" s="24">
        <f>ROUND(110.12602,5)</f>
        <v>110.12602</v>
      </c>
      <c r="G65" s="25"/>
      <c r="H65" s="26"/>
    </row>
    <row r="66" spans="1:8" ht="12.75" customHeight="1">
      <c r="A66" s="23">
        <v>43405</v>
      </c>
      <c r="B66" s="23"/>
      <c r="C66" s="24">
        <f>ROUND(104.48546,5)</f>
        <v>104.48546</v>
      </c>
      <c r="D66" s="24">
        <f>F66</f>
        <v>112.17058</v>
      </c>
      <c r="E66" s="24">
        <f>F66</f>
        <v>112.17058</v>
      </c>
      <c r="F66" s="24">
        <f>ROUND(112.17058,5)</f>
        <v>112.17058</v>
      </c>
      <c r="G66" s="25"/>
      <c r="H66" s="26"/>
    </row>
    <row r="67" spans="1:8" ht="12.75" customHeight="1">
      <c r="A67" s="23" t="s">
        <v>33</v>
      </c>
      <c r="B67" s="23"/>
      <c r="C67" s="28"/>
      <c r="D67" s="28"/>
      <c r="E67" s="28"/>
      <c r="F67" s="28"/>
      <c r="G67" s="25"/>
      <c r="H67" s="26"/>
    </row>
    <row r="68" spans="1:8" ht="12.75" customHeight="1">
      <c r="A68" s="23">
        <v>43041</v>
      </c>
      <c r="B68" s="23"/>
      <c r="C68" s="24">
        <f>ROUND(9.735,5)</f>
        <v>9.735</v>
      </c>
      <c r="D68" s="24">
        <f>F68</f>
        <v>9.7572</v>
      </c>
      <c r="E68" s="24">
        <f>F68</f>
        <v>9.7572</v>
      </c>
      <c r="F68" s="24">
        <f>ROUND(9.7572,5)</f>
        <v>9.7572</v>
      </c>
      <c r="G68" s="25"/>
      <c r="H68" s="26"/>
    </row>
    <row r="69" spans="1:8" ht="12.75" customHeight="1">
      <c r="A69" s="23">
        <v>43132</v>
      </c>
      <c r="B69" s="23"/>
      <c r="C69" s="24">
        <f>ROUND(9.735,5)</f>
        <v>9.735</v>
      </c>
      <c r="D69" s="24">
        <f>F69</f>
        <v>9.82121</v>
      </c>
      <c r="E69" s="24">
        <f>F69</f>
        <v>9.82121</v>
      </c>
      <c r="F69" s="24">
        <f>ROUND(9.82121,5)</f>
        <v>9.82121</v>
      </c>
      <c r="G69" s="25"/>
      <c r="H69" s="26"/>
    </row>
    <row r="70" spans="1:8" ht="12.75" customHeight="1">
      <c r="A70" s="23">
        <v>43223</v>
      </c>
      <c r="B70" s="23"/>
      <c r="C70" s="24">
        <f>ROUND(9.735,5)</f>
        <v>9.735</v>
      </c>
      <c r="D70" s="24">
        <f>F70</f>
        <v>9.88805</v>
      </c>
      <c r="E70" s="24">
        <f>F70</f>
        <v>9.88805</v>
      </c>
      <c r="F70" s="24">
        <f>ROUND(9.88805,5)</f>
        <v>9.88805</v>
      </c>
      <c r="G70" s="25"/>
      <c r="H70" s="26"/>
    </row>
    <row r="71" spans="1:8" ht="12.75" customHeight="1">
      <c r="A71" s="23">
        <v>43314</v>
      </c>
      <c r="B71" s="23"/>
      <c r="C71" s="24">
        <f>ROUND(9.735,5)</f>
        <v>9.735</v>
      </c>
      <c r="D71" s="24">
        <f>F71</f>
        <v>9.95704</v>
      </c>
      <c r="E71" s="24">
        <f>F71</f>
        <v>9.95704</v>
      </c>
      <c r="F71" s="24">
        <f>ROUND(9.95704,5)</f>
        <v>9.95704</v>
      </c>
      <c r="G71" s="25"/>
      <c r="H71" s="26"/>
    </row>
    <row r="72" spans="1:8" ht="12.75" customHeight="1">
      <c r="A72" s="23">
        <v>43405</v>
      </c>
      <c r="B72" s="23"/>
      <c r="C72" s="24">
        <f>ROUND(9.735,5)</f>
        <v>9.735</v>
      </c>
      <c r="D72" s="24">
        <f>F72</f>
        <v>10.02087</v>
      </c>
      <c r="E72" s="24">
        <f>F72</f>
        <v>10.02087</v>
      </c>
      <c r="F72" s="24">
        <f>ROUND(10.02087,5)</f>
        <v>10.02087</v>
      </c>
      <c r="G72" s="25"/>
      <c r="H72" s="26"/>
    </row>
    <row r="73" spans="1:8" ht="12.75" customHeight="1">
      <c r="A73" s="23" t="s">
        <v>34</v>
      </c>
      <c r="B73" s="23"/>
      <c r="C73" s="28"/>
      <c r="D73" s="28"/>
      <c r="E73" s="28"/>
      <c r="F73" s="28"/>
      <c r="G73" s="25"/>
      <c r="H73" s="26"/>
    </row>
    <row r="74" spans="1:8" ht="12.75" customHeight="1">
      <c r="A74" s="23">
        <v>43041</v>
      </c>
      <c r="B74" s="23"/>
      <c r="C74" s="24">
        <f>ROUND(2.49,5)</f>
        <v>2.49</v>
      </c>
      <c r="D74" s="24">
        <f>F74</f>
        <v>128.92982</v>
      </c>
      <c r="E74" s="24">
        <f>F74</f>
        <v>128.92982</v>
      </c>
      <c r="F74" s="24">
        <f>ROUND(128.92982,5)</f>
        <v>128.92982</v>
      </c>
      <c r="G74" s="25"/>
      <c r="H74" s="26"/>
    </row>
    <row r="75" spans="1:8" ht="12.75" customHeight="1">
      <c r="A75" s="23">
        <v>43132</v>
      </c>
      <c r="B75" s="23"/>
      <c r="C75" s="24">
        <f>ROUND(2.49,5)</f>
        <v>2.49</v>
      </c>
      <c r="D75" s="24">
        <f>F75</f>
        <v>129.83889</v>
      </c>
      <c r="E75" s="24">
        <f>F75</f>
        <v>129.83889</v>
      </c>
      <c r="F75" s="24">
        <f>ROUND(129.83889,5)</f>
        <v>129.83889</v>
      </c>
      <c r="G75" s="25"/>
      <c r="H75" s="26"/>
    </row>
    <row r="76" spans="1:8" ht="12.75" customHeight="1">
      <c r="A76" s="23">
        <v>43223</v>
      </c>
      <c r="B76" s="23"/>
      <c r="C76" s="24">
        <f>ROUND(2.49,5)</f>
        <v>2.49</v>
      </c>
      <c r="D76" s="24">
        <f>F76</f>
        <v>132.30106</v>
      </c>
      <c r="E76" s="24">
        <f>F76</f>
        <v>132.30106</v>
      </c>
      <c r="F76" s="24">
        <f>ROUND(132.30106,5)</f>
        <v>132.30106</v>
      </c>
      <c r="G76" s="25"/>
      <c r="H76" s="26"/>
    </row>
    <row r="77" spans="1:8" ht="12.75" customHeight="1">
      <c r="A77" s="23">
        <v>43314</v>
      </c>
      <c r="B77" s="23"/>
      <c r="C77" s="24">
        <f>ROUND(2.49,5)</f>
        <v>2.49</v>
      </c>
      <c r="D77" s="24">
        <f>F77</f>
        <v>134.81836</v>
      </c>
      <c r="E77" s="24">
        <f>F77</f>
        <v>134.81836</v>
      </c>
      <c r="F77" s="24">
        <f>ROUND(134.81836,5)</f>
        <v>134.81836</v>
      </c>
      <c r="G77" s="25"/>
      <c r="H77" s="26"/>
    </row>
    <row r="78" spans="1:8" ht="12.75" customHeight="1">
      <c r="A78" s="23">
        <v>43405</v>
      </c>
      <c r="B78" s="23"/>
      <c r="C78" s="24">
        <f>ROUND(2.49,5)</f>
        <v>2.49</v>
      </c>
      <c r="D78" s="24">
        <f>F78</f>
        <v>137.32138</v>
      </c>
      <c r="E78" s="24">
        <f>F78</f>
        <v>137.32138</v>
      </c>
      <c r="F78" s="24">
        <f>ROUND(137.32138,5)</f>
        <v>137.32138</v>
      </c>
      <c r="G78" s="25"/>
      <c r="H78" s="26"/>
    </row>
    <row r="79" spans="1:8" ht="12.75" customHeight="1">
      <c r="A79" s="23" t="s">
        <v>35</v>
      </c>
      <c r="B79" s="23"/>
      <c r="C79" s="30"/>
      <c r="D79" s="30"/>
      <c r="E79" s="30"/>
      <c r="F79" s="30"/>
      <c r="G79" s="25"/>
      <c r="H79" s="26"/>
    </row>
    <row r="80" spans="1:8" ht="12.75" customHeight="1">
      <c r="A80" s="23">
        <v>43041</v>
      </c>
      <c r="B80" s="23"/>
      <c r="C80" s="24">
        <f>ROUND(9.84,5)</f>
        <v>9.84</v>
      </c>
      <c r="D80" s="24">
        <f>F80</f>
        <v>9.86258</v>
      </c>
      <c r="E80" s="24">
        <f>F80</f>
        <v>9.86258</v>
      </c>
      <c r="F80" s="24">
        <f>ROUND(9.86258,5)</f>
        <v>9.86258</v>
      </c>
      <c r="G80" s="25"/>
      <c r="H80" s="26"/>
    </row>
    <row r="81" spans="1:8" ht="12.75" customHeight="1">
      <c r="A81" s="23">
        <v>43132</v>
      </c>
      <c r="B81" s="23"/>
      <c r="C81" s="24">
        <f>ROUND(9.84,5)</f>
        <v>9.84</v>
      </c>
      <c r="D81" s="24">
        <f>F81</f>
        <v>9.92771</v>
      </c>
      <c r="E81" s="24">
        <f>F81</f>
        <v>9.92771</v>
      </c>
      <c r="F81" s="24">
        <f>ROUND(9.92771,5)</f>
        <v>9.92771</v>
      </c>
      <c r="G81" s="25"/>
      <c r="H81" s="26"/>
    </row>
    <row r="82" spans="1:8" ht="12.75" customHeight="1">
      <c r="A82" s="23">
        <v>43223</v>
      </c>
      <c r="B82" s="23"/>
      <c r="C82" s="24">
        <f>ROUND(9.84,5)</f>
        <v>9.84</v>
      </c>
      <c r="D82" s="24">
        <f>F82</f>
        <v>9.99556</v>
      </c>
      <c r="E82" s="24">
        <f>F82</f>
        <v>9.99556</v>
      </c>
      <c r="F82" s="24">
        <f>ROUND(9.99556,5)</f>
        <v>9.99556</v>
      </c>
      <c r="G82" s="25"/>
      <c r="H82" s="26"/>
    </row>
    <row r="83" spans="1:8" ht="12.75" customHeight="1">
      <c r="A83" s="23">
        <v>43314</v>
      </c>
      <c r="B83" s="23"/>
      <c r="C83" s="24">
        <f>ROUND(9.84,5)</f>
        <v>9.84</v>
      </c>
      <c r="D83" s="24">
        <f>F83</f>
        <v>10.06558</v>
      </c>
      <c r="E83" s="24">
        <f>F83</f>
        <v>10.06558</v>
      </c>
      <c r="F83" s="24">
        <f>ROUND(10.06558,5)</f>
        <v>10.06558</v>
      </c>
      <c r="G83" s="25"/>
      <c r="H83" s="26"/>
    </row>
    <row r="84" spans="1:8" ht="12.75" customHeight="1">
      <c r="A84" s="23">
        <v>43405</v>
      </c>
      <c r="B84" s="23"/>
      <c r="C84" s="24">
        <f>ROUND(9.84,5)</f>
        <v>9.84</v>
      </c>
      <c r="D84" s="24">
        <f>F84</f>
        <v>10.13044</v>
      </c>
      <c r="E84" s="24">
        <f>F84</f>
        <v>10.13044</v>
      </c>
      <c r="F84" s="24">
        <f>ROUND(10.13044,5)</f>
        <v>10.13044</v>
      </c>
      <c r="G84" s="25"/>
      <c r="H84" s="26"/>
    </row>
    <row r="85" spans="1:8" ht="12.75" customHeight="1">
      <c r="A85" s="23" t="s">
        <v>36</v>
      </c>
      <c r="B85" s="23"/>
      <c r="C85" s="28"/>
      <c r="D85" s="28"/>
      <c r="E85" s="28"/>
      <c r="F85" s="28"/>
      <c r="G85" s="25"/>
      <c r="H85" s="26"/>
    </row>
    <row r="86" spans="1:8" ht="12.75" customHeight="1">
      <c r="A86" s="23">
        <v>43041</v>
      </c>
      <c r="B86" s="23"/>
      <c r="C86" s="24">
        <f>ROUND(9.845,5)</f>
        <v>9.845</v>
      </c>
      <c r="D86" s="24">
        <f>F86</f>
        <v>9.86668</v>
      </c>
      <c r="E86" s="24">
        <f>F86</f>
        <v>9.86668</v>
      </c>
      <c r="F86" s="24">
        <f>ROUND(9.86668,5)</f>
        <v>9.86668</v>
      </c>
      <c r="G86" s="25"/>
      <c r="H86" s="26"/>
    </row>
    <row r="87" spans="1:8" ht="12.75" customHeight="1">
      <c r="A87" s="23">
        <v>43132</v>
      </c>
      <c r="B87" s="23"/>
      <c r="C87" s="24">
        <f>ROUND(9.845,5)</f>
        <v>9.845</v>
      </c>
      <c r="D87" s="24">
        <f>F87</f>
        <v>9.92911</v>
      </c>
      <c r="E87" s="24">
        <f>F87</f>
        <v>9.92911</v>
      </c>
      <c r="F87" s="24">
        <f>ROUND(9.92911,5)</f>
        <v>9.92911</v>
      </c>
      <c r="G87" s="25"/>
      <c r="H87" s="26"/>
    </row>
    <row r="88" spans="1:8" ht="12.75" customHeight="1">
      <c r="A88" s="23">
        <v>43223</v>
      </c>
      <c r="B88" s="23"/>
      <c r="C88" s="24">
        <f>ROUND(9.845,5)</f>
        <v>9.845</v>
      </c>
      <c r="D88" s="24">
        <f>F88</f>
        <v>9.99402</v>
      </c>
      <c r="E88" s="24">
        <f>F88</f>
        <v>9.99402</v>
      </c>
      <c r="F88" s="24">
        <f>ROUND(9.99402,5)</f>
        <v>9.99402</v>
      </c>
      <c r="G88" s="25"/>
      <c r="H88" s="26"/>
    </row>
    <row r="89" spans="1:8" ht="12.75" customHeight="1">
      <c r="A89" s="23">
        <v>43314</v>
      </c>
      <c r="B89" s="23"/>
      <c r="C89" s="24">
        <f>ROUND(9.845,5)</f>
        <v>9.845</v>
      </c>
      <c r="D89" s="24">
        <f>F89</f>
        <v>10.06089</v>
      </c>
      <c r="E89" s="24">
        <f>F89</f>
        <v>10.06089</v>
      </c>
      <c r="F89" s="24">
        <f>ROUND(10.06089,5)</f>
        <v>10.06089</v>
      </c>
      <c r="G89" s="25"/>
      <c r="H89" s="26"/>
    </row>
    <row r="90" spans="1:8" ht="12.75" customHeight="1">
      <c r="A90" s="23">
        <v>43405</v>
      </c>
      <c r="B90" s="23"/>
      <c r="C90" s="24">
        <f>ROUND(9.845,5)</f>
        <v>9.845</v>
      </c>
      <c r="D90" s="24">
        <f>F90</f>
        <v>10.12269</v>
      </c>
      <c r="E90" s="24">
        <f>F90</f>
        <v>10.12269</v>
      </c>
      <c r="F90" s="24">
        <f>ROUND(10.12269,5)</f>
        <v>10.12269</v>
      </c>
      <c r="G90" s="25"/>
      <c r="H90" s="26"/>
    </row>
    <row r="91" spans="1:8" ht="12.75" customHeight="1">
      <c r="A91" s="23" t="s">
        <v>37</v>
      </c>
      <c r="B91" s="23"/>
      <c r="C91" s="28"/>
      <c r="D91" s="28"/>
      <c r="E91" s="28"/>
      <c r="F91" s="28"/>
      <c r="G91" s="25"/>
      <c r="H91" s="26"/>
    </row>
    <row r="92" spans="1:8" ht="12.75" customHeight="1">
      <c r="A92" s="23">
        <v>43041</v>
      </c>
      <c r="B92" s="23"/>
      <c r="C92" s="24">
        <f>ROUND(123.53488,5)</f>
        <v>123.53488</v>
      </c>
      <c r="D92" s="24">
        <f>F92</f>
        <v>124.32797</v>
      </c>
      <c r="E92" s="24">
        <f>F92</f>
        <v>124.32797</v>
      </c>
      <c r="F92" s="24">
        <f>ROUND(124.32797,5)</f>
        <v>124.32797</v>
      </c>
      <c r="G92" s="25"/>
      <c r="H92" s="26"/>
    </row>
    <row r="93" spans="1:8" ht="12.75" customHeight="1">
      <c r="A93" s="23">
        <v>43132</v>
      </c>
      <c r="B93" s="23"/>
      <c r="C93" s="24">
        <f>ROUND(123.53488,5)</f>
        <v>123.53488</v>
      </c>
      <c r="D93" s="24">
        <f>F93</f>
        <v>126.6556</v>
      </c>
      <c r="E93" s="24">
        <f>F93</f>
        <v>126.6556</v>
      </c>
      <c r="F93" s="24">
        <f>ROUND(126.6556,5)</f>
        <v>126.6556</v>
      </c>
      <c r="G93" s="25"/>
      <c r="H93" s="26"/>
    </row>
    <row r="94" spans="1:8" ht="12.75" customHeight="1">
      <c r="A94" s="23">
        <v>43223</v>
      </c>
      <c r="B94" s="23"/>
      <c r="C94" s="24">
        <f>ROUND(123.53488,5)</f>
        <v>123.53488</v>
      </c>
      <c r="D94" s="24">
        <f>F94</f>
        <v>127.4594</v>
      </c>
      <c r="E94" s="24">
        <f>F94</f>
        <v>127.4594</v>
      </c>
      <c r="F94" s="24">
        <f>ROUND(127.4594,5)</f>
        <v>127.4594</v>
      </c>
      <c r="G94" s="25"/>
      <c r="H94" s="26"/>
    </row>
    <row r="95" spans="1:8" ht="12.75" customHeight="1">
      <c r="A95" s="23">
        <v>43314</v>
      </c>
      <c r="B95" s="23"/>
      <c r="C95" s="24">
        <f>ROUND(123.53488,5)</f>
        <v>123.53488</v>
      </c>
      <c r="D95" s="24">
        <f>F95</f>
        <v>129.88446</v>
      </c>
      <c r="E95" s="24">
        <f>F95</f>
        <v>129.88446</v>
      </c>
      <c r="F95" s="24">
        <f>ROUND(129.88446,5)</f>
        <v>129.88446</v>
      </c>
      <c r="G95" s="25"/>
      <c r="H95" s="26"/>
    </row>
    <row r="96" spans="1:8" ht="12.75" customHeight="1">
      <c r="A96" s="23">
        <v>43405</v>
      </c>
      <c r="B96" s="23"/>
      <c r="C96" s="24">
        <f>ROUND(123.53488,5)</f>
        <v>123.53488</v>
      </c>
      <c r="D96" s="24">
        <f>F96</f>
        <v>132.29558</v>
      </c>
      <c r="E96" s="24">
        <f>F96</f>
        <v>132.29558</v>
      </c>
      <c r="F96" s="24">
        <f>ROUND(132.29558,5)</f>
        <v>132.29558</v>
      </c>
      <c r="G96" s="25"/>
      <c r="H96" s="26"/>
    </row>
    <row r="97" spans="1:8" ht="12.75" customHeight="1">
      <c r="A97" s="23" t="s">
        <v>38</v>
      </c>
      <c r="B97" s="23"/>
      <c r="C97" s="28"/>
      <c r="D97" s="28"/>
      <c r="E97" s="28"/>
      <c r="F97" s="28"/>
      <c r="G97" s="25"/>
      <c r="H97" s="26"/>
    </row>
    <row r="98" spans="1:8" ht="12.75" customHeight="1">
      <c r="A98" s="23">
        <v>43041</v>
      </c>
      <c r="B98" s="23"/>
      <c r="C98" s="24">
        <f>ROUND(2.55,5)</f>
        <v>2.55</v>
      </c>
      <c r="D98" s="24">
        <f>F98</f>
        <v>132.74279</v>
      </c>
      <c r="E98" s="24">
        <f>F98</f>
        <v>132.74279</v>
      </c>
      <c r="F98" s="24">
        <f>ROUND(132.74279,5)</f>
        <v>132.74279</v>
      </c>
      <c r="G98" s="25"/>
      <c r="H98" s="26"/>
    </row>
    <row r="99" spans="1:8" ht="12.75" customHeight="1">
      <c r="A99" s="23">
        <v>43132</v>
      </c>
      <c r="B99" s="23"/>
      <c r="C99" s="24">
        <f>ROUND(2.55,5)</f>
        <v>2.55</v>
      </c>
      <c r="D99" s="24">
        <f>F99</f>
        <v>133.55488</v>
      </c>
      <c r="E99" s="24">
        <f>F99</f>
        <v>133.55488</v>
      </c>
      <c r="F99" s="24">
        <f>ROUND(133.55488,5)</f>
        <v>133.55488</v>
      </c>
      <c r="G99" s="25"/>
      <c r="H99" s="26"/>
    </row>
    <row r="100" spans="1:8" ht="12.75" customHeight="1">
      <c r="A100" s="23">
        <v>43223</v>
      </c>
      <c r="B100" s="23"/>
      <c r="C100" s="24">
        <f>ROUND(2.55,5)</f>
        <v>2.55</v>
      </c>
      <c r="D100" s="24">
        <f>F100</f>
        <v>136.08756</v>
      </c>
      <c r="E100" s="24">
        <f>F100</f>
        <v>136.08756</v>
      </c>
      <c r="F100" s="24">
        <f>ROUND(136.08756,5)</f>
        <v>136.08756</v>
      </c>
      <c r="G100" s="25"/>
      <c r="H100" s="26"/>
    </row>
    <row r="101" spans="1:8" ht="12.75" customHeight="1">
      <c r="A101" s="23">
        <v>43314</v>
      </c>
      <c r="B101" s="23"/>
      <c r="C101" s="24">
        <f>ROUND(2.55,5)</f>
        <v>2.55</v>
      </c>
      <c r="D101" s="24">
        <f>F101</f>
        <v>138.67696</v>
      </c>
      <c r="E101" s="24">
        <f>F101</f>
        <v>138.67696</v>
      </c>
      <c r="F101" s="24">
        <f>ROUND(138.67696,5)</f>
        <v>138.67696</v>
      </c>
      <c r="G101" s="25"/>
      <c r="H101" s="26"/>
    </row>
    <row r="102" spans="1:8" ht="12.75" customHeight="1">
      <c r="A102" s="23">
        <v>43405</v>
      </c>
      <c r="B102" s="23"/>
      <c r="C102" s="24">
        <f>ROUND(2.55,5)</f>
        <v>2.55</v>
      </c>
      <c r="D102" s="24">
        <f>F102</f>
        <v>141.25172</v>
      </c>
      <c r="E102" s="24">
        <f>F102</f>
        <v>141.25172</v>
      </c>
      <c r="F102" s="24">
        <f>ROUND(141.25172,5)</f>
        <v>141.25172</v>
      </c>
      <c r="G102" s="25"/>
      <c r="H102" s="26"/>
    </row>
    <row r="103" spans="1:8" ht="12.75" customHeight="1">
      <c r="A103" s="23" t="s">
        <v>39</v>
      </c>
      <c r="B103" s="23"/>
      <c r="C103" s="28"/>
      <c r="D103" s="28"/>
      <c r="E103" s="28"/>
      <c r="F103" s="28"/>
      <c r="G103" s="25"/>
      <c r="H103" s="26"/>
    </row>
    <row r="104" spans="1:8" ht="12.75" customHeight="1">
      <c r="A104" s="23">
        <v>43041</v>
      </c>
      <c r="B104" s="23"/>
      <c r="C104" s="24">
        <f>ROUND(3.2,5)</f>
        <v>3.2</v>
      </c>
      <c r="D104" s="24">
        <f>F104</f>
        <v>127.59945</v>
      </c>
      <c r="E104" s="24">
        <f>F104</f>
        <v>127.59945</v>
      </c>
      <c r="F104" s="24">
        <f>ROUND(127.59945,5)</f>
        <v>127.59945</v>
      </c>
      <c r="G104" s="25"/>
      <c r="H104" s="26"/>
    </row>
    <row r="105" spans="1:8" ht="12.75" customHeight="1">
      <c r="A105" s="23">
        <v>43132</v>
      </c>
      <c r="B105" s="23"/>
      <c r="C105" s="24">
        <f>ROUND(3.2,5)</f>
        <v>3.2</v>
      </c>
      <c r="D105" s="24">
        <f>F105</f>
        <v>129.98857</v>
      </c>
      <c r="E105" s="24">
        <f>F105</f>
        <v>129.98857</v>
      </c>
      <c r="F105" s="24">
        <f>ROUND(129.98857,5)</f>
        <v>129.98857</v>
      </c>
      <c r="G105" s="25"/>
      <c r="H105" s="26"/>
    </row>
    <row r="106" spans="1:8" ht="12.75" customHeight="1">
      <c r="A106" s="23">
        <v>43223</v>
      </c>
      <c r="B106" s="23"/>
      <c r="C106" s="24">
        <f>ROUND(3.2,5)</f>
        <v>3.2</v>
      </c>
      <c r="D106" s="24">
        <f>F106</f>
        <v>132.4537</v>
      </c>
      <c r="E106" s="24">
        <f>F106</f>
        <v>132.4537</v>
      </c>
      <c r="F106" s="24">
        <f>ROUND(132.4537,5)</f>
        <v>132.4537</v>
      </c>
      <c r="G106" s="25"/>
      <c r="H106" s="26"/>
    </row>
    <row r="107" spans="1:8" ht="12.75" customHeight="1">
      <c r="A107" s="23">
        <v>43314</v>
      </c>
      <c r="B107" s="23"/>
      <c r="C107" s="24">
        <f>ROUND(3.2,5)</f>
        <v>3.2</v>
      </c>
      <c r="D107" s="24">
        <f>F107</f>
        <v>134.97406</v>
      </c>
      <c r="E107" s="24">
        <f>F107</f>
        <v>134.97406</v>
      </c>
      <c r="F107" s="24">
        <f>ROUND(134.97406,5)</f>
        <v>134.97406</v>
      </c>
      <c r="G107" s="25"/>
      <c r="H107" s="26"/>
    </row>
    <row r="108" spans="1:8" ht="12.75" customHeight="1">
      <c r="A108" s="23">
        <v>43405</v>
      </c>
      <c r="B108" s="23"/>
      <c r="C108" s="24">
        <f>ROUND(3.2,5)</f>
        <v>3.2</v>
      </c>
      <c r="D108" s="24">
        <f>F108</f>
        <v>137.48032</v>
      </c>
      <c r="E108" s="24">
        <f>F108</f>
        <v>137.48032</v>
      </c>
      <c r="F108" s="24">
        <f>ROUND(137.48032,5)</f>
        <v>137.48032</v>
      </c>
      <c r="G108" s="25"/>
      <c r="H108" s="26"/>
    </row>
    <row r="109" spans="1:8" ht="12.75" customHeight="1">
      <c r="A109" s="23" t="s">
        <v>40</v>
      </c>
      <c r="B109" s="23"/>
      <c r="C109" s="28"/>
      <c r="D109" s="28"/>
      <c r="E109" s="28"/>
      <c r="F109" s="28"/>
      <c r="G109" s="25"/>
      <c r="H109" s="26"/>
    </row>
    <row r="110" spans="1:8" ht="12.75" customHeight="1">
      <c r="A110" s="23">
        <v>43041</v>
      </c>
      <c r="B110" s="23"/>
      <c r="C110" s="24">
        <f>ROUND(10.78,5)</f>
        <v>10.78</v>
      </c>
      <c r="D110" s="24">
        <f>F110</f>
        <v>10.81673</v>
      </c>
      <c r="E110" s="24">
        <f>F110</f>
        <v>10.81673</v>
      </c>
      <c r="F110" s="24">
        <f>ROUND(10.81673,5)</f>
        <v>10.81673</v>
      </c>
      <c r="G110" s="25"/>
      <c r="H110" s="26"/>
    </row>
    <row r="111" spans="1:8" ht="12.75" customHeight="1">
      <c r="A111" s="23">
        <v>43132</v>
      </c>
      <c r="B111" s="23"/>
      <c r="C111" s="24">
        <f>ROUND(10.78,5)</f>
        <v>10.78</v>
      </c>
      <c r="D111" s="24">
        <f>F111</f>
        <v>10.92392</v>
      </c>
      <c r="E111" s="24">
        <f>F111</f>
        <v>10.92392</v>
      </c>
      <c r="F111" s="24">
        <f>ROUND(10.92392,5)</f>
        <v>10.92392</v>
      </c>
      <c r="G111" s="25"/>
      <c r="H111" s="26"/>
    </row>
    <row r="112" spans="1:8" ht="12.75" customHeight="1">
      <c r="A112" s="23">
        <v>43223</v>
      </c>
      <c r="B112" s="23"/>
      <c r="C112" s="24">
        <f>ROUND(10.78,5)</f>
        <v>10.78</v>
      </c>
      <c r="D112" s="24">
        <f>F112</f>
        <v>11.02905</v>
      </c>
      <c r="E112" s="24">
        <f>F112</f>
        <v>11.02905</v>
      </c>
      <c r="F112" s="24">
        <f>ROUND(11.02905,5)</f>
        <v>11.02905</v>
      </c>
      <c r="G112" s="25"/>
      <c r="H112" s="26"/>
    </row>
    <row r="113" spans="1:8" ht="12.75" customHeight="1">
      <c r="A113" s="23">
        <v>43314</v>
      </c>
      <c r="B113" s="23"/>
      <c r="C113" s="24">
        <f>ROUND(10.78,5)</f>
        <v>10.78</v>
      </c>
      <c r="D113" s="24">
        <f>F113</f>
        <v>11.13508</v>
      </c>
      <c r="E113" s="24">
        <f>F113</f>
        <v>11.13508</v>
      </c>
      <c r="F113" s="24">
        <f>ROUND(11.13508,5)</f>
        <v>11.13508</v>
      </c>
      <c r="G113" s="25"/>
      <c r="H113" s="26"/>
    </row>
    <row r="114" spans="1:8" ht="12.75" customHeight="1">
      <c r="A114" s="23">
        <v>43405</v>
      </c>
      <c r="B114" s="23"/>
      <c r="C114" s="24">
        <f>ROUND(10.78,5)</f>
        <v>10.78</v>
      </c>
      <c r="D114" s="24">
        <f>F114</f>
        <v>11.24638</v>
      </c>
      <c r="E114" s="24">
        <f>F114</f>
        <v>11.24638</v>
      </c>
      <c r="F114" s="24">
        <f>ROUND(11.24638,5)</f>
        <v>11.24638</v>
      </c>
      <c r="G114" s="25"/>
      <c r="H114" s="26"/>
    </row>
    <row r="115" spans="1:8" ht="12.75" customHeight="1">
      <c r="A115" s="23" t="s">
        <v>41</v>
      </c>
      <c r="B115" s="23"/>
      <c r="C115" s="27"/>
      <c r="D115" s="27"/>
      <c r="E115" s="27"/>
      <c r="F115" s="27"/>
      <c r="G115" s="25"/>
      <c r="H115" s="26"/>
    </row>
    <row r="116" spans="1:8" ht="12.75" customHeight="1">
      <c r="A116" s="23">
        <v>43041</v>
      </c>
      <c r="B116" s="23"/>
      <c r="C116" s="24">
        <f>ROUND(11.03,5)</f>
        <v>11.03</v>
      </c>
      <c r="D116" s="24">
        <f>F116</f>
        <v>11.06522</v>
      </c>
      <c r="E116" s="24">
        <f>F116</f>
        <v>11.06522</v>
      </c>
      <c r="F116" s="24">
        <f>ROUND(11.06522,5)</f>
        <v>11.06522</v>
      </c>
      <c r="G116" s="25"/>
      <c r="H116" s="26"/>
    </row>
    <row r="117" spans="1:8" ht="12.75" customHeight="1">
      <c r="A117" s="23">
        <v>43132</v>
      </c>
      <c r="B117" s="23"/>
      <c r="C117" s="24">
        <f>ROUND(11.03,5)</f>
        <v>11.03</v>
      </c>
      <c r="D117" s="24">
        <f>F117</f>
        <v>11.16889</v>
      </c>
      <c r="E117" s="24">
        <f>F117</f>
        <v>11.16889</v>
      </c>
      <c r="F117" s="24">
        <f>ROUND(11.16889,5)</f>
        <v>11.16889</v>
      </c>
      <c r="G117" s="25"/>
      <c r="H117" s="26"/>
    </row>
    <row r="118" spans="1:8" ht="12.75" customHeight="1">
      <c r="A118" s="23">
        <v>43223</v>
      </c>
      <c r="B118" s="23"/>
      <c r="C118" s="24">
        <f>ROUND(11.03,5)</f>
        <v>11.03</v>
      </c>
      <c r="D118" s="24">
        <f>F118</f>
        <v>11.27567</v>
      </c>
      <c r="E118" s="24">
        <f>F118</f>
        <v>11.27567</v>
      </c>
      <c r="F118" s="24">
        <f>ROUND(11.27567,5)</f>
        <v>11.27567</v>
      </c>
      <c r="G118" s="25"/>
      <c r="H118" s="26"/>
    </row>
    <row r="119" spans="1:8" ht="12.75" customHeight="1">
      <c r="A119" s="23">
        <v>43314</v>
      </c>
      <c r="B119" s="23"/>
      <c r="C119" s="24">
        <f>ROUND(11.03,5)</f>
        <v>11.03</v>
      </c>
      <c r="D119" s="24">
        <f>F119</f>
        <v>11.38146</v>
      </c>
      <c r="E119" s="24">
        <f>F119</f>
        <v>11.38146</v>
      </c>
      <c r="F119" s="24">
        <f>ROUND(11.38146,5)</f>
        <v>11.38146</v>
      </c>
      <c r="G119" s="25"/>
      <c r="H119" s="26"/>
    </row>
    <row r="120" spans="1:8" ht="12.75" customHeight="1">
      <c r="A120" s="23">
        <v>43405</v>
      </c>
      <c r="B120" s="23"/>
      <c r="C120" s="24">
        <f>ROUND(11.03,5)</f>
        <v>11.03</v>
      </c>
      <c r="D120" s="24">
        <f>F120</f>
        <v>11.49161</v>
      </c>
      <c r="E120" s="24">
        <f>F120</f>
        <v>11.49161</v>
      </c>
      <c r="F120" s="24">
        <f>ROUND(11.49161,5)</f>
        <v>11.49161</v>
      </c>
      <c r="G120" s="25"/>
      <c r="H120" s="26"/>
    </row>
    <row r="121" spans="1:8" ht="12.75" customHeight="1">
      <c r="A121" s="23" t="s">
        <v>42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43041</v>
      </c>
      <c r="B122" s="23"/>
      <c r="C122" s="24">
        <f>ROUND(8.01,5)</f>
        <v>8.01</v>
      </c>
      <c r="D122" s="24">
        <f>F122</f>
        <v>8.02402</v>
      </c>
      <c r="E122" s="24">
        <f>F122</f>
        <v>8.02402</v>
      </c>
      <c r="F122" s="24">
        <f>ROUND(8.02402,5)</f>
        <v>8.02402</v>
      </c>
      <c r="G122" s="25"/>
      <c r="H122" s="26"/>
    </row>
    <row r="123" spans="1:8" ht="12.75" customHeight="1">
      <c r="A123" s="23">
        <v>43132</v>
      </c>
      <c r="B123" s="23"/>
      <c r="C123" s="24">
        <f>ROUND(8.01,5)</f>
        <v>8.01</v>
      </c>
      <c r="D123" s="24">
        <f>F123</f>
        <v>8.06342</v>
      </c>
      <c r="E123" s="24">
        <f>F123</f>
        <v>8.06342</v>
      </c>
      <c r="F123" s="24">
        <f>ROUND(8.06342,5)</f>
        <v>8.06342</v>
      </c>
      <c r="G123" s="25"/>
      <c r="H123" s="26"/>
    </row>
    <row r="124" spans="1:8" ht="12.75" customHeight="1">
      <c r="A124" s="23">
        <v>43223</v>
      </c>
      <c r="B124" s="23"/>
      <c r="C124" s="24">
        <f>ROUND(8.01,5)</f>
        <v>8.01</v>
      </c>
      <c r="D124" s="24">
        <f>F124</f>
        <v>8.0948</v>
      </c>
      <c r="E124" s="24">
        <f>F124</f>
        <v>8.0948</v>
      </c>
      <c r="F124" s="24">
        <f>ROUND(8.0948,5)</f>
        <v>8.0948</v>
      </c>
      <c r="G124" s="25"/>
      <c r="H124" s="26"/>
    </row>
    <row r="125" spans="1:8" ht="12.75" customHeight="1">
      <c r="A125" s="23">
        <v>43314</v>
      </c>
      <c r="B125" s="23"/>
      <c r="C125" s="24">
        <f>ROUND(8.01,5)</f>
        <v>8.01</v>
      </c>
      <c r="D125" s="24">
        <f>F125</f>
        <v>8.12464</v>
      </c>
      <c r="E125" s="24">
        <f>F125</f>
        <v>8.12464</v>
      </c>
      <c r="F125" s="24">
        <f>ROUND(8.12464,5)</f>
        <v>8.12464</v>
      </c>
      <c r="G125" s="25"/>
      <c r="H125" s="26"/>
    </row>
    <row r="126" spans="1:8" ht="12.75" customHeight="1">
      <c r="A126" s="23">
        <v>43405</v>
      </c>
      <c r="B126" s="23"/>
      <c r="C126" s="24">
        <f>ROUND(8.01,5)</f>
        <v>8.01</v>
      </c>
      <c r="D126" s="24">
        <f>F126</f>
        <v>8.1599</v>
      </c>
      <c r="E126" s="24">
        <f>F126</f>
        <v>8.1599</v>
      </c>
      <c r="F126" s="24">
        <f>ROUND(8.1599,5)</f>
        <v>8.1599</v>
      </c>
      <c r="G126" s="25"/>
      <c r="H126" s="26"/>
    </row>
    <row r="127" spans="1:8" ht="12.75" customHeight="1">
      <c r="A127" s="23" t="s">
        <v>43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43041</v>
      </c>
      <c r="B128" s="23"/>
      <c r="C128" s="24">
        <f>ROUND(9.62,5)</f>
        <v>9.62</v>
      </c>
      <c r="D128" s="24">
        <f>F128</f>
        <v>9.64344</v>
      </c>
      <c r="E128" s="24">
        <f>F128</f>
        <v>9.64344</v>
      </c>
      <c r="F128" s="24">
        <f>ROUND(9.64344,5)</f>
        <v>9.64344</v>
      </c>
      <c r="G128" s="25"/>
      <c r="H128" s="26"/>
    </row>
    <row r="129" spans="1:8" ht="12.75" customHeight="1">
      <c r="A129" s="23">
        <v>43132</v>
      </c>
      <c r="B129" s="23"/>
      <c r="C129" s="24">
        <f>ROUND(9.62,5)</f>
        <v>9.62</v>
      </c>
      <c r="D129" s="24">
        <f>F129</f>
        <v>9.71108</v>
      </c>
      <c r="E129" s="24">
        <f>F129</f>
        <v>9.71108</v>
      </c>
      <c r="F129" s="24">
        <f>ROUND(9.71108,5)</f>
        <v>9.71108</v>
      </c>
      <c r="G129" s="25"/>
      <c r="H129" s="26"/>
    </row>
    <row r="130" spans="1:8" ht="12.75" customHeight="1">
      <c r="A130" s="23">
        <v>43223</v>
      </c>
      <c r="B130" s="23"/>
      <c r="C130" s="24">
        <f>ROUND(9.62,5)</f>
        <v>9.62</v>
      </c>
      <c r="D130" s="24">
        <f>F130</f>
        <v>9.77433</v>
      </c>
      <c r="E130" s="24">
        <f>F130</f>
        <v>9.77433</v>
      </c>
      <c r="F130" s="24">
        <f>ROUND(9.77433,5)</f>
        <v>9.77433</v>
      </c>
      <c r="G130" s="25"/>
      <c r="H130" s="26"/>
    </row>
    <row r="131" spans="1:8" ht="12.75" customHeight="1">
      <c r="A131" s="23">
        <v>43314</v>
      </c>
      <c r="B131" s="23"/>
      <c r="C131" s="24">
        <f>ROUND(9.62,5)</f>
        <v>9.62</v>
      </c>
      <c r="D131" s="24">
        <f>F131</f>
        <v>9.83812</v>
      </c>
      <c r="E131" s="24">
        <f>F131</f>
        <v>9.83812</v>
      </c>
      <c r="F131" s="24">
        <f>ROUND(9.83812,5)</f>
        <v>9.83812</v>
      </c>
      <c r="G131" s="25"/>
      <c r="H131" s="26"/>
    </row>
    <row r="132" spans="1:8" ht="12.75" customHeight="1">
      <c r="A132" s="23">
        <v>43405</v>
      </c>
      <c r="B132" s="23"/>
      <c r="C132" s="24">
        <f>ROUND(9.62,5)</f>
        <v>9.62</v>
      </c>
      <c r="D132" s="24">
        <f>F132</f>
        <v>9.90529</v>
      </c>
      <c r="E132" s="24">
        <f>F132</f>
        <v>9.90529</v>
      </c>
      <c r="F132" s="24">
        <f>ROUND(9.90529,5)</f>
        <v>9.90529</v>
      </c>
      <c r="G132" s="25"/>
      <c r="H132" s="26"/>
    </row>
    <row r="133" spans="1:8" ht="12.75" customHeight="1">
      <c r="A133" s="23" t="s">
        <v>44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43041</v>
      </c>
      <c r="B134" s="23"/>
      <c r="C134" s="24">
        <f>ROUND(8.655,5)</f>
        <v>8.655</v>
      </c>
      <c r="D134" s="24">
        <f>F134</f>
        <v>8.67325</v>
      </c>
      <c r="E134" s="24">
        <f>F134</f>
        <v>8.67325</v>
      </c>
      <c r="F134" s="24">
        <f>ROUND(8.67325,5)</f>
        <v>8.67325</v>
      </c>
      <c r="G134" s="25"/>
      <c r="H134" s="26"/>
    </row>
    <row r="135" spans="1:8" ht="12.75" customHeight="1">
      <c r="A135" s="23">
        <v>43132</v>
      </c>
      <c r="B135" s="23"/>
      <c r="C135" s="24">
        <f>ROUND(8.655,5)</f>
        <v>8.655</v>
      </c>
      <c r="D135" s="24">
        <f>F135</f>
        <v>8.72531</v>
      </c>
      <c r="E135" s="24">
        <f>F135</f>
        <v>8.72531</v>
      </c>
      <c r="F135" s="24">
        <f>ROUND(8.72531,5)</f>
        <v>8.72531</v>
      </c>
      <c r="G135" s="25"/>
      <c r="H135" s="26"/>
    </row>
    <row r="136" spans="1:8" ht="12.75" customHeight="1">
      <c r="A136" s="23">
        <v>43223</v>
      </c>
      <c r="B136" s="23"/>
      <c r="C136" s="24">
        <f>ROUND(8.655,5)</f>
        <v>8.655</v>
      </c>
      <c r="D136" s="24">
        <f>F136</f>
        <v>8.77791</v>
      </c>
      <c r="E136" s="24">
        <f>F136</f>
        <v>8.77791</v>
      </c>
      <c r="F136" s="24">
        <f>ROUND(8.77791,5)</f>
        <v>8.77791</v>
      </c>
      <c r="G136" s="25"/>
      <c r="H136" s="26"/>
    </row>
    <row r="137" spans="1:8" ht="12.75" customHeight="1">
      <c r="A137" s="23">
        <v>43314</v>
      </c>
      <c r="B137" s="23"/>
      <c r="C137" s="24">
        <f>ROUND(8.655,5)</f>
        <v>8.655</v>
      </c>
      <c r="D137" s="24">
        <f>F137</f>
        <v>8.83083</v>
      </c>
      <c r="E137" s="24">
        <f>F137</f>
        <v>8.83083</v>
      </c>
      <c r="F137" s="24">
        <f>ROUND(8.83083,5)</f>
        <v>8.83083</v>
      </c>
      <c r="G137" s="25"/>
      <c r="H137" s="26"/>
    </row>
    <row r="138" spans="1:8" ht="12.75" customHeight="1">
      <c r="A138" s="23">
        <v>43405</v>
      </c>
      <c r="B138" s="23"/>
      <c r="C138" s="24">
        <f>ROUND(8.655,5)</f>
        <v>8.655</v>
      </c>
      <c r="D138" s="24">
        <f>F138</f>
        <v>8.88311</v>
      </c>
      <c r="E138" s="24">
        <f>F138</f>
        <v>8.88311</v>
      </c>
      <c r="F138" s="24">
        <f>ROUND(8.88311,5)</f>
        <v>8.88311</v>
      </c>
      <c r="G138" s="25"/>
      <c r="H138" s="26"/>
    </row>
    <row r="139" spans="1:8" ht="12.75" customHeight="1">
      <c r="A139" s="23" t="s">
        <v>45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43041</v>
      </c>
      <c r="B140" s="23"/>
      <c r="C140" s="24">
        <f>ROUND(2.36,5)</f>
        <v>2.36</v>
      </c>
      <c r="D140" s="24">
        <f>F140</f>
        <v>301.3327</v>
      </c>
      <c r="E140" s="24">
        <f>F140</f>
        <v>301.3327</v>
      </c>
      <c r="F140" s="24">
        <f>ROUND(301.3327,5)</f>
        <v>301.3327</v>
      </c>
      <c r="G140" s="25"/>
      <c r="H140" s="26"/>
    </row>
    <row r="141" spans="1:8" ht="12.75" customHeight="1">
      <c r="A141" s="23">
        <v>43132</v>
      </c>
      <c r="B141" s="23"/>
      <c r="C141" s="24">
        <f>ROUND(2.36,5)</f>
        <v>2.36</v>
      </c>
      <c r="D141" s="24">
        <f>F141</f>
        <v>299.98934</v>
      </c>
      <c r="E141" s="24">
        <f>F141</f>
        <v>299.98934</v>
      </c>
      <c r="F141" s="24">
        <f>ROUND(299.98934,5)</f>
        <v>299.98934</v>
      </c>
      <c r="G141" s="25"/>
      <c r="H141" s="26"/>
    </row>
    <row r="142" spans="1:8" ht="12.75" customHeight="1">
      <c r="A142" s="23">
        <v>43223</v>
      </c>
      <c r="B142" s="23"/>
      <c r="C142" s="24">
        <f>ROUND(2.36,5)</f>
        <v>2.36</v>
      </c>
      <c r="D142" s="24">
        <f>F142</f>
        <v>305.67829</v>
      </c>
      <c r="E142" s="24">
        <f>F142</f>
        <v>305.67829</v>
      </c>
      <c r="F142" s="24">
        <f>ROUND(305.67829,5)</f>
        <v>305.67829</v>
      </c>
      <c r="G142" s="25"/>
      <c r="H142" s="26"/>
    </row>
    <row r="143" spans="1:8" ht="12.75" customHeight="1">
      <c r="A143" s="23">
        <v>43314</v>
      </c>
      <c r="B143" s="23"/>
      <c r="C143" s="24">
        <f>ROUND(2.36,5)</f>
        <v>2.36</v>
      </c>
      <c r="D143" s="24">
        <f>F143</f>
        <v>311.49445</v>
      </c>
      <c r="E143" s="24">
        <f>F143</f>
        <v>311.49445</v>
      </c>
      <c r="F143" s="24">
        <f>ROUND(311.49445,5)</f>
        <v>311.49445</v>
      </c>
      <c r="G143" s="25"/>
      <c r="H143" s="26"/>
    </row>
    <row r="144" spans="1:8" ht="12.75" customHeight="1">
      <c r="A144" s="23">
        <v>43405</v>
      </c>
      <c r="B144" s="23"/>
      <c r="C144" s="24">
        <f>ROUND(2.36,5)</f>
        <v>2.36</v>
      </c>
      <c r="D144" s="24">
        <f>F144</f>
        <v>317.27755</v>
      </c>
      <c r="E144" s="24">
        <f>F144</f>
        <v>317.27755</v>
      </c>
      <c r="F144" s="24">
        <f>ROUND(317.27755,5)</f>
        <v>317.27755</v>
      </c>
      <c r="G144" s="25"/>
      <c r="H144" s="26"/>
    </row>
    <row r="145" spans="1:8" ht="12.75" customHeight="1">
      <c r="A145" s="23" t="s">
        <v>46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43041</v>
      </c>
      <c r="B146" s="23"/>
      <c r="C146" s="24">
        <f>ROUND(2.495,5)</f>
        <v>2.495</v>
      </c>
      <c r="D146" s="24">
        <f>F146</f>
        <v>242.45017</v>
      </c>
      <c r="E146" s="24">
        <f>F146</f>
        <v>242.45017</v>
      </c>
      <c r="F146" s="24">
        <f>ROUND(242.45017,5)</f>
        <v>242.45017</v>
      </c>
      <c r="G146" s="25"/>
      <c r="H146" s="26"/>
    </row>
    <row r="147" spans="1:8" ht="12.75" customHeight="1">
      <c r="A147" s="23">
        <v>43132</v>
      </c>
      <c r="B147" s="23"/>
      <c r="C147" s="24">
        <f>ROUND(2.495,5)</f>
        <v>2.495</v>
      </c>
      <c r="D147" s="24">
        <f>F147</f>
        <v>243.27945</v>
      </c>
      <c r="E147" s="24">
        <f>F147</f>
        <v>243.27945</v>
      </c>
      <c r="F147" s="24">
        <f>ROUND(243.27945,5)</f>
        <v>243.27945</v>
      </c>
      <c r="G147" s="25"/>
      <c r="H147" s="26"/>
    </row>
    <row r="148" spans="1:8" ht="12.75" customHeight="1">
      <c r="A148" s="23">
        <v>43223</v>
      </c>
      <c r="B148" s="23"/>
      <c r="C148" s="24">
        <f>ROUND(2.495,5)</f>
        <v>2.495</v>
      </c>
      <c r="D148" s="24">
        <f>F148</f>
        <v>247.89293</v>
      </c>
      <c r="E148" s="24">
        <f>F148</f>
        <v>247.89293</v>
      </c>
      <c r="F148" s="24">
        <f>ROUND(247.89293,5)</f>
        <v>247.89293</v>
      </c>
      <c r="G148" s="25"/>
      <c r="H148" s="26"/>
    </row>
    <row r="149" spans="1:8" ht="12.75" customHeight="1">
      <c r="A149" s="23">
        <v>43314</v>
      </c>
      <c r="B149" s="23"/>
      <c r="C149" s="24">
        <f>ROUND(2.495,5)</f>
        <v>2.495</v>
      </c>
      <c r="D149" s="24">
        <f>F149</f>
        <v>252.60974</v>
      </c>
      <c r="E149" s="24">
        <f>F149</f>
        <v>252.60974</v>
      </c>
      <c r="F149" s="24">
        <f>ROUND(252.60974,5)</f>
        <v>252.60974</v>
      </c>
      <c r="G149" s="25"/>
      <c r="H149" s="26"/>
    </row>
    <row r="150" spans="1:8" ht="12.75" customHeight="1">
      <c r="A150" s="23">
        <v>43405</v>
      </c>
      <c r="B150" s="23"/>
      <c r="C150" s="24">
        <f>ROUND(2.495,5)</f>
        <v>2.495</v>
      </c>
      <c r="D150" s="24">
        <f>F150</f>
        <v>257.29992</v>
      </c>
      <c r="E150" s="24">
        <f>F150</f>
        <v>257.29992</v>
      </c>
      <c r="F150" s="24">
        <f>ROUND(257.29992,5)</f>
        <v>257.29992</v>
      </c>
      <c r="G150" s="25"/>
      <c r="H150" s="26"/>
    </row>
    <row r="151" spans="1:8" ht="12.75" customHeight="1">
      <c r="A151" s="23" t="s">
        <v>47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43041</v>
      </c>
      <c r="B152" s="23"/>
      <c r="C152" s="24">
        <f>ROUND(0,5)</f>
        <v>0</v>
      </c>
      <c r="D152" s="24">
        <f>F152</f>
        <v>1.03146</v>
      </c>
      <c r="E152" s="24">
        <f>F152</f>
        <v>1.03146</v>
      </c>
      <c r="F152" s="24">
        <f>ROUND(1.03146,5)</f>
        <v>1.03146</v>
      </c>
      <c r="G152" s="25"/>
      <c r="H152" s="26"/>
    </row>
    <row r="153" spans="1:8" ht="12.75" customHeight="1">
      <c r="A153" s="23" t="s">
        <v>48</v>
      </c>
      <c r="B153" s="23"/>
      <c r="C153" s="27"/>
      <c r="D153" s="27"/>
      <c r="E153" s="27"/>
      <c r="F153" s="27"/>
      <c r="G153" s="25"/>
      <c r="H153" s="26"/>
    </row>
    <row r="154" spans="1:8" ht="12.75" customHeight="1">
      <c r="A154" s="23">
        <v>43041</v>
      </c>
      <c r="B154" s="23"/>
      <c r="C154" s="24">
        <f>ROUND(7.08,5)</f>
        <v>7.08</v>
      </c>
      <c r="D154" s="24">
        <f>F154</f>
        <v>7.05389</v>
      </c>
      <c r="E154" s="24">
        <f>F154</f>
        <v>7.05389</v>
      </c>
      <c r="F154" s="24">
        <f>ROUND(7.05389,5)</f>
        <v>7.05389</v>
      </c>
      <c r="G154" s="25"/>
      <c r="H154" s="26"/>
    </row>
    <row r="155" spans="1:8" ht="12.75" customHeight="1">
      <c r="A155" s="23">
        <v>43132</v>
      </c>
      <c r="B155" s="23"/>
      <c r="C155" s="24">
        <f>ROUND(7.08,5)</f>
        <v>7.08</v>
      </c>
      <c r="D155" s="24">
        <f>F155</f>
        <v>6.93938</v>
      </c>
      <c r="E155" s="24">
        <f>F155</f>
        <v>6.93938</v>
      </c>
      <c r="F155" s="24">
        <f>ROUND(6.93938,5)</f>
        <v>6.93938</v>
      </c>
      <c r="G155" s="25"/>
      <c r="H155" s="26"/>
    </row>
    <row r="156" spans="1:8" ht="12.75" customHeight="1">
      <c r="A156" s="23">
        <v>43223</v>
      </c>
      <c r="B156" s="23"/>
      <c r="C156" s="24">
        <f>ROUND(7.08,5)</f>
        <v>7.08</v>
      </c>
      <c r="D156" s="24">
        <f>F156</f>
        <v>6.70442</v>
      </c>
      <c r="E156" s="24">
        <f>F156</f>
        <v>6.70442</v>
      </c>
      <c r="F156" s="24">
        <f>ROUND(6.70442,5)</f>
        <v>6.70442</v>
      </c>
      <c r="G156" s="25"/>
      <c r="H156" s="26"/>
    </row>
    <row r="157" spans="1:8" ht="12.75" customHeight="1">
      <c r="A157" s="23">
        <v>43314</v>
      </c>
      <c r="B157" s="23"/>
      <c r="C157" s="24">
        <f>ROUND(7.08,5)</f>
        <v>7.08</v>
      </c>
      <c r="D157" s="24">
        <f>F157</f>
        <v>6.07263</v>
      </c>
      <c r="E157" s="24">
        <f>F157</f>
        <v>6.07263</v>
      </c>
      <c r="F157" s="24">
        <f>ROUND(6.07263,5)</f>
        <v>6.07263</v>
      </c>
      <c r="G157" s="25"/>
      <c r="H157" s="26"/>
    </row>
    <row r="158" spans="1:8" ht="12.75" customHeight="1">
      <c r="A158" s="23">
        <v>43405</v>
      </c>
      <c r="B158" s="23"/>
      <c r="C158" s="24">
        <f>ROUND(7.08,5)</f>
        <v>7.08</v>
      </c>
      <c r="D158" s="24">
        <f>F158</f>
        <v>2.98977</v>
      </c>
      <c r="E158" s="24">
        <f>F158</f>
        <v>2.98977</v>
      </c>
      <c r="F158" s="24">
        <f>ROUND(2.98977,5)</f>
        <v>2.98977</v>
      </c>
      <c r="G158" s="25"/>
      <c r="H158" s="26"/>
    </row>
    <row r="159" spans="1:8" ht="12.75" customHeight="1">
      <c r="A159" s="23" t="s">
        <v>49</v>
      </c>
      <c r="B159" s="23"/>
      <c r="C159" s="27"/>
      <c r="D159" s="27"/>
      <c r="E159" s="27"/>
      <c r="F159" s="27"/>
      <c r="G159" s="25"/>
      <c r="H159" s="26"/>
    </row>
    <row r="160" spans="1:8" ht="12.75" customHeight="1">
      <c r="A160" s="23">
        <v>43041</v>
      </c>
      <c r="B160" s="23"/>
      <c r="C160" s="24">
        <f>ROUND(7.385,5)</f>
        <v>7.385</v>
      </c>
      <c r="D160" s="24">
        <f>F160</f>
        <v>7.38267</v>
      </c>
      <c r="E160" s="24">
        <f>F160</f>
        <v>7.38267</v>
      </c>
      <c r="F160" s="24">
        <f>ROUND(7.38267,5)</f>
        <v>7.38267</v>
      </c>
      <c r="G160" s="25"/>
      <c r="H160" s="26"/>
    </row>
    <row r="161" spans="1:8" ht="12.75" customHeight="1">
      <c r="A161" s="23">
        <v>43132</v>
      </c>
      <c r="B161" s="23"/>
      <c r="C161" s="24">
        <f>ROUND(7.385,5)</f>
        <v>7.385</v>
      </c>
      <c r="D161" s="24">
        <f>F161</f>
        <v>7.37035</v>
      </c>
      <c r="E161" s="24">
        <f>F161</f>
        <v>7.37035</v>
      </c>
      <c r="F161" s="24">
        <f>ROUND(7.37035,5)</f>
        <v>7.37035</v>
      </c>
      <c r="G161" s="25"/>
      <c r="H161" s="26"/>
    </row>
    <row r="162" spans="1:8" ht="12.75" customHeight="1">
      <c r="A162" s="23">
        <v>43223</v>
      </c>
      <c r="B162" s="23"/>
      <c r="C162" s="24">
        <f>ROUND(7.385,5)</f>
        <v>7.385</v>
      </c>
      <c r="D162" s="24">
        <f>F162</f>
        <v>7.35553</v>
      </c>
      <c r="E162" s="24">
        <f>F162</f>
        <v>7.35553</v>
      </c>
      <c r="F162" s="24">
        <f>ROUND(7.35553,5)</f>
        <v>7.35553</v>
      </c>
      <c r="G162" s="25"/>
      <c r="H162" s="26"/>
    </row>
    <row r="163" spans="1:8" ht="12.75" customHeight="1">
      <c r="A163" s="23">
        <v>43314</v>
      </c>
      <c r="B163" s="23"/>
      <c r="C163" s="24">
        <f>ROUND(7.385,5)</f>
        <v>7.385</v>
      </c>
      <c r="D163" s="24">
        <f>F163</f>
        <v>7.3212</v>
      </c>
      <c r="E163" s="24">
        <f>F163</f>
        <v>7.3212</v>
      </c>
      <c r="F163" s="24">
        <f>ROUND(7.3212,5)</f>
        <v>7.3212</v>
      </c>
      <c r="G163" s="25"/>
      <c r="H163" s="26"/>
    </row>
    <row r="164" spans="1:8" ht="12.75" customHeight="1">
      <c r="A164" s="23">
        <v>43405</v>
      </c>
      <c r="B164" s="23"/>
      <c r="C164" s="24">
        <f>ROUND(7.385,5)</f>
        <v>7.385</v>
      </c>
      <c r="D164" s="24">
        <f>F164</f>
        <v>7.23798</v>
      </c>
      <c r="E164" s="24">
        <f>F164</f>
        <v>7.23798</v>
      </c>
      <c r="F164" s="24">
        <f>ROUND(7.23798,5)</f>
        <v>7.23798</v>
      </c>
      <c r="G164" s="25"/>
      <c r="H164" s="26"/>
    </row>
    <row r="165" spans="1:8" ht="12.75" customHeight="1">
      <c r="A165" s="23" t="s">
        <v>50</v>
      </c>
      <c r="B165" s="23"/>
      <c r="C165" s="27"/>
      <c r="D165" s="27"/>
      <c r="E165" s="27"/>
      <c r="F165" s="27"/>
      <c r="G165" s="25"/>
      <c r="H165" s="26"/>
    </row>
    <row r="166" spans="1:8" ht="12.75" customHeight="1">
      <c r="A166" s="23">
        <v>43041</v>
      </c>
      <c r="B166" s="23"/>
      <c r="C166" s="24">
        <f>ROUND(7.605,5)</f>
        <v>7.605</v>
      </c>
      <c r="D166" s="24">
        <f>F166</f>
        <v>7.61212</v>
      </c>
      <c r="E166" s="24">
        <f>F166</f>
        <v>7.61212</v>
      </c>
      <c r="F166" s="24">
        <f>ROUND(7.61212,5)</f>
        <v>7.61212</v>
      </c>
      <c r="G166" s="25"/>
      <c r="H166" s="26"/>
    </row>
    <row r="167" spans="1:8" ht="12.75" customHeight="1">
      <c r="A167" s="23">
        <v>43132</v>
      </c>
      <c r="B167" s="23"/>
      <c r="C167" s="24">
        <f>ROUND(7.605,5)</f>
        <v>7.605</v>
      </c>
      <c r="D167" s="24">
        <f>F167</f>
        <v>7.62932</v>
      </c>
      <c r="E167" s="24">
        <f>F167</f>
        <v>7.62932</v>
      </c>
      <c r="F167" s="24">
        <f>ROUND(7.62932,5)</f>
        <v>7.62932</v>
      </c>
      <c r="G167" s="25"/>
      <c r="H167" s="26"/>
    </row>
    <row r="168" spans="1:8" ht="12.75" customHeight="1">
      <c r="A168" s="23">
        <v>43223</v>
      </c>
      <c r="B168" s="23"/>
      <c r="C168" s="24">
        <f>ROUND(7.605,5)</f>
        <v>7.605</v>
      </c>
      <c r="D168" s="24">
        <f>F168</f>
        <v>7.6395</v>
      </c>
      <c r="E168" s="24">
        <f>F168</f>
        <v>7.6395</v>
      </c>
      <c r="F168" s="24">
        <f>ROUND(7.6395,5)</f>
        <v>7.6395</v>
      </c>
      <c r="G168" s="25"/>
      <c r="H168" s="26"/>
    </row>
    <row r="169" spans="1:8" ht="12.75" customHeight="1">
      <c r="A169" s="23">
        <v>43314</v>
      </c>
      <c r="B169" s="23"/>
      <c r="C169" s="24">
        <f>ROUND(7.605,5)</f>
        <v>7.605</v>
      </c>
      <c r="D169" s="24">
        <f>F169</f>
        <v>7.64414</v>
      </c>
      <c r="E169" s="24">
        <f>F169</f>
        <v>7.64414</v>
      </c>
      <c r="F169" s="24">
        <f>ROUND(7.64414,5)</f>
        <v>7.64414</v>
      </c>
      <c r="G169" s="25"/>
      <c r="H169" s="26"/>
    </row>
    <row r="170" spans="1:8" ht="12.75" customHeight="1">
      <c r="A170" s="23">
        <v>43405</v>
      </c>
      <c r="B170" s="23"/>
      <c r="C170" s="24">
        <f>ROUND(7.605,5)</f>
        <v>7.605</v>
      </c>
      <c r="D170" s="24">
        <f>F170</f>
        <v>7.64394</v>
      </c>
      <c r="E170" s="24">
        <f>F170</f>
        <v>7.64394</v>
      </c>
      <c r="F170" s="24">
        <f>ROUND(7.64394,5)</f>
        <v>7.64394</v>
      </c>
      <c r="G170" s="25"/>
      <c r="H170" s="26"/>
    </row>
    <row r="171" spans="1:8" ht="12.75" customHeight="1">
      <c r="A171" s="23" t="s">
        <v>51</v>
      </c>
      <c r="B171" s="23"/>
      <c r="C171" s="27"/>
      <c r="D171" s="27"/>
      <c r="E171" s="27"/>
      <c r="F171" s="27"/>
      <c r="G171" s="25"/>
      <c r="H171" s="26"/>
    </row>
    <row r="172" spans="1:8" ht="12.75" customHeight="1">
      <c r="A172" s="23">
        <v>43041</v>
      </c>
      <c r="B172" s="23"/>
      <c r="C172" s="24">
        <f>ROUND(9.575,5)</f>
        <v>9.575</v>
      </c>
      <c r="D172" s="24">
        <f>F172</f>
        <v>9.59518</v>
      </c>
      <c r="E172" s="24">
        <f>F172</f>
        <v>9.59518</v>
      </c>
      <c r="F172" s="24">
        <f>ROUND(9.59518,5)</f>
        <v>9.59518</v>
      </c>
      <c r="G172" s="25"/>
      <c r="H172" s="26"/>
    </row>
    <row r="173" spans="1:8" ht="12.75" customHeight="1">
      <c r="A173" s="23">
        <v>43132</v>
      </c>
      <c r="B173" s="23"/>
      <c r="C173" s="24">
        <f>ROUND(9.575,5)</f>
        <v>9.575</v>
      </c>
      <c r="D173" s="24">
        <f>F173</f>
        <v>9.65309</v>
      </c>
      <c r="E173" s="24">
        <f>F173</f>
        <v>9.65309</v>
      </c>
      <c r="F173" s="24">
        <f>ROUND(9.65309,5)</f>
        <v>9.65309</v>
      </c>
      <c r="G173" s="25"/>
      <c r="H173" s="26"/>
    </row>
    <row r="174" spans="1:8" ht="12.75" customHeight="1">
      <c r="A174" s="23">
        <v>43223</v>
      </c>
      <c r="B174" s="23"/>
      <c r="C174" s="24">
        <f>ROUND(9.575,5)</f>
        <v>9.575</v>
      </c>
      <c r="D174" s="24">
        <f>F174</f>
        <v>9.71027</v>
      </c>
      <c r="E174" s="24">
        <f>F174</f>
        <v>9.71027</v>
      </c>
      <c r="F174" s="24">
        <f>ROUND(9.71027,5)</f>
        <v>9.71027</v>
      </c>
      <c r="G174" s="25"/>
      <c r="H174" s="26"/>
    </row>
    <row r="175" spans="1:8" ht="12.75" customHeight="1">
      <c r="A175" s="23">
        <v>43314</v>
      </c>
      <c r="B175" s="23"/>
      <c r="C175" s="24">
        <f>ROUND(9.575,5)</f>
        <v>9.575</v>
      </c>
      <c r="D175" s="24">
        <f>F175</f>
        <v>9.76707</v>
      </c>
      <c r="E175" s="24">
        <f>F175</f>
        <v>9.76707</v>
      </c>
      <c r="F175" s="24">
        <f>ROUND(9.76707,5)</f>
        <v>9.76707</v>
      </c>
      <c r="G175" s="25"/>
      <c r="H175" s="26"/>
    </row>
    <row r="176" spans="1:8" ht="12.75" customHeight="1">
      <c r="A176" s="23">
        <v>43405</v>
      </c>
      <c r="B176" s="23"/>
      <c r="C176" s="24">
        <f>ROUND(9.575,5)</f>
        <v>9.575</v>
      </c>
      <c r="D176" s="24">
        <f>F176</f>
        <v>9.82484</v>
      </c>
      <c r="E176" s="24">
        <f>F176</f>
        <v>9.82484</v>
      </c>
      <c r="F176" s="24">
        <f>ROUND(9.82484,5)</f>
        <v>9.82484</v>
      </c>
      <c r="G176" s="25"/>
      <c r="H176" s="26"/>
    </row>
    <row r="177" spans="1:8" ht="12.75" customHeight="1">
      <c r="A177" s="23" t="s">
        <v>52</v>
      </c>
      <c r="B177" s="23"/>
      <c r="C177" s="27"/>
      <c r="D177" s="27"/>
      <c r="E177" s="27"/>
      <c r="F177" s="27"/>
      <c r="G177" s="25"/>
      <c r="H177" s="26"/>
    </row>
    <row r="178" spans="1:8" ht="12.75" customHeight="1">
      <c r="A178" s="23">
        <v>43041</v>
      </c>
      <c r="B178" s="23"/>
      <c r="C178" s="24">
        <f>ROUND(2.48,5)</f>
        <v>2.48</v>
      </c>
      <c r="D178" s="24">
        <f>F178</f>
        <v>185.46127</v>
      </c>
      <c r="E178" s="24">
        <f>F178</f>
        <v>185.46127</v>
      </c>
      <c r="F178" s="24">
        <f>ROUND(185.46127,5)</f>
        <v>185.46127</v>
      </c>
      <c r="G178" s="25"/>
      <c r="H178" s="26"/>
    </row>
    <row r="179" spans="1:8" ht="12.75" customHeight="1">
      <c r="A179" s="23">
        <v>43132</v>
      </c>
      <c r="B179" s="23"/>
      <c r="C179" s="24">
        <f>ROUND(2.48,5)</f>
        <v>2.48</v>
      </c>
      <c r="D179" s="24">
        <f>F179</f>
        <v>188.93376</v>
      </c>
      <c r="E179" s="24">
        <f>F179</f>
        <v>188.93376</v>
      </c>
      <c r="F179" s="24">
        <f>ROUND(188.93376,5)</f>
        <v>188.93376</v>
      </c>
      <c r="G179" s="25"/>
      <c r="H179" s="26"/>
    </row>
    <row r="180" spans="1:8" ht="12.75" customHeight="1">
      <c r="A180" s="23">
        <v>43223</v>
      </c>
      <c r="B180" s="23"/>
      <c r="C180" s="24">
        <f>ROUND(2.48,5)</f>
        <v>2.48</v>
      </c>
      <c r="D180" s="24">
        <f>F180</f>
        <v>190.09405</v>
      </c>
      <c r="E180" s="24">
        <f>F180</f>
        <v>190.09405</v>
      </c>
      <c r="F180" s="24">
        <f>ROUND(190.09405,5)</f>
        <v>190.09405</v>
      </c>
      <c r="G180" s="25"/>
      <c r="H180" s="26"/>
    </row>
    <row r="181" spans="1:8" ht="12.75" customHeight="1">
      <c r="A181" s="23">
        <v>43314</v>
      </c>
      <c r="B181" s="23"/>
      <c r="C181" s="24">
        <f>ROUND(2.48,5)</f>
        <v>2.48</v>
      </c>
      <c r="D181" s="24">
        <f>F181</f>
        <v>193.71081</v>
      </c>
      <c r="E181" s="24">
        <f>F181</f>
        <v>193.71081</v>
      </c>
      <c r="F181" s="24">
        <f>ROUND(193.71081,5)</f>
        <v>193.71081</v>
      </c>
      <c r="G181" s="25"/>
      <c r="H181" s="26"/>
    </row>
    <row r="182" spans="1:8" ht="12.75" customHeight="1">
      <c r="A182" s="23">
        <v>43405</v>
      </c>
      <c r="B182" s="23"/>
      <c r="C182" s="24">
        <f>ROUND(2.48,5)</f>
        <v>2.48</v>
      </c>
      <c r="D182" s="24">
        <f>F182</f>
        <v>197.30676</v>
      </c>
      <c r="E182" s="24">
        <f>F182</f>
        <v>197.30676</v>
      </c>
      <c r="F182" s="24">
        <f>ROUND(197.30676,5)</f>
        <v>197.30676</v>
      </c>
      <c r="G182" s="25"/>
      <c r="H182" s="26"/>
    </row>
    <row r="183" spans="1:8" ht="12.75" customHeight="1">
      <c r="A183" s="23" t="s">
        <v>53</v>
      </c>
      <c r="B183" s="23"/>
      <c r="C183" s="27"/>
      <c r="D183" s="27"/>
      <c r="E183" s="27"/>
      <c r="F183" s="27"/>
      <c r="G183" s="25"/>
      <c r="H183" s="26"/>
    </row>
    <row r="184" spans="1:8" ht="12.75" customHeight="1">
      <c r="A184" s="23">
        <v>43041</v>
      </c>
      <c r="B184" s="23"/>
      <c r="C184" s="24">
        <f>ROUND(0,5)</f>
        <v>0</v>
      </c>
      <c r="D184" s="24">
        <f>F184</f>
        <v>141.66256</v>
      </c>
      <c r="E184" s="24">
        <f>F184</f>
        <v>141.66256</v>
      </c>
      <c r="F184" s="24">
        <f>ROUND(141.66256,5)</f>
        <v>141.66256</v>
      </c>
      <c r="G184" s="25"/>
      <c r="H184" s="26"/>
    </row>
    <row r="185" spans="1:8" ht="12.75" customHeight="1">
      <c r="A185" s="23" t="s">
        <v>54</v>
      </c>
      <c r="B185" s="23"/>
      <c r="C185" s="27"/>
      <c r="D185" s="27"/>
      <c r="E185" s="27"/>
      <c r="F185" s="27"/>
      <c r="G185" s="25"/>
      <c r="H185" s="26"/>
    </row>
    <row r="186" spans="1:8" ht="12.75" customHeight="1">
      <c r="A186" s="23">
        <v>43041</v>
      </c>
      <c r="B186" s="23"/>
      <c r="C186" s="24">
        <f>ROUND(2.315,5)</f>
        <v>2.315</v>
      </c>
      <c r="D186" s="24">
        <f>F186</f>
        <v>151.26847</v>
      </c>
      <c r="E186" s="24">
        <f>F186</f>
        <v>151.26847</v>
      </c>
      <c r="F186" s="24">
        <f>ROUND(151.26847,5)</f>
        <v>151.26847</v>
      </c>
      <c r="G186" s="25"/>
      <c r="H186" s="26"/>
    </row>
    <row r="187" spans="1:8" ht="12.75" customHeight="1">
      <c r="A187" s="23">
        <v>43132</v>
      </c>
      <c r="B187" s="23"/>
      <c r="C187" s="24">
        <f>ROUND(2.315,5)</f>
        <v>2.315</v>
      </c>
      <c r="D187" s="24">
        <f>F187</f>
        <v>152.06239</v>
      </c>
      <c r="E187" s="24">
        <f>F187</f>
        <v>152.06239</v>
      </c>
      <c r="F187" s="24">
        <f>ROUND(152.06239,5)</f>
        <v>152.06239</v>
      </c>
      <c r="G187" s="25"/>
      <c r="H187" s="26"/>
    </row>
    <row r="188" spans="1:8" ht="12.75" customHeight="1">
      <c r="A188" s="23">
        <v>43223</v>
      </c>
      <c r="B188" s="23"/>
      <c r="C188" s="24">
        <f>ROUND(2.315,5)</f>
        <v>2.315</v>
      </c>
      <c r="D188" s="24">
        <f>F188</f>
        <v>154.94604</v>
      </c>
      <c r="E188" s="24">
        <f>F188</f>
        <v>154.94604</v>
      </c>
      <c r="F188" s="24">
        <f>ROUND(154.94604,5)</f>
        <v>154.94604</v>
      </c>
      <c r="G188" s="25"/>
      <c r="H188" s="26"/>
    </row>
    <row r="189" spans="1:8" ht="12.75" customHeight="1">
      <c r="A189" s="23">
        <v>43314</v>
      </c>
      <c r="B189" s="23"/>
      <c r="C189" s="24">
        <f>ROUND(2.315,5)</f>
        <v>2.315</v>
      </c>
      <c r="D189" s="24">
        <f>F189</f>
        <v>157.89419</v>
      </c>
      <c r="E189" s="24">
        <f>F189</f>
        <v>157.89419</v>
      </c>
      <c r="F189" s="24">
        <f>ROUND(157.89419,5)</f>
        <v>157.89419</v>
      </c>
      <c r="G189" s="25"/>
      <c r="H189" s="26"/>
    </row>
    <row r="190" spans="1:8" ht="12.75" customHeight="1">
      <c r="A190" s="23">
        <v>43405</v>
      </c>
      <c r="B190" s="23"/>
      <c r="C190" s="24">
        <f>ROUND(2.315,5)</f>
        <v>2.315</v>
      </c>
      <c r="D190" s="24">
        <f>F190</f>
        <v>160.82554</v>
      </c>
      <c r="E190" s="24">
        <f>F190</f>
        <v>160.82554</v>
      </c>
      <c r="F190" s="24">
        <f>ROUND(160.82554,5)</f>
        <v>160.82554</v>
      </c>
      <c r="G190" s="25"/>
      <c r="H190" s="26"/>
    </row>
    <row r="191" spans="1:8" ht="12.75" customHeight="1">
      <c r="A191" s="23" t="s">
        <v>55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43041</v>
      </c>
      <c r="B192" s="23"/>
      <c r="C192" s="24">
        <f>ROUND(9.295,5)</f>
        <v>9.295</v>
      </c>
      <c r="D192" s="24">
        <f>F192</f>
        <v>9.3163</v>
      </c>
      <c r="E192" s="24">
        <f>F192</f>
        <v>9.3163</v>
      </c>
      <c r="F192" s="24">
        <f>ROUND(9.3163,5)</f>
        <v>9.3163</v>
      </c>
      <c r="G192" s="25"/>
      <c r="H192" s="26"/>
    </row>
    <row r="193" spans="1:8" ht="12.75" customHeight="1">
      <c r="A193" s="23">
        <v>43132</v>
      </c>
      <c r="B193" s="23"/>
      <c r="C193" s="24">
        <f>ROUND(9.295,5)</f>
        <v>9.295</v>
      </c>
      <c r="D193" s="24">
        <f>F193</f>
        <v>9.3776</v>
      </c>
      <c r="E193" s="24">
        <f>F193</f>
        <v>9.3776</v>
      </c>
      <c r="F193" s="24">
        <f>ROUND(9.3776,5)</f>
        <v>9.3776</v>
      </c>
      <c r="G193" s="25"/>
      <c r="H193" s="26"/>
    </row>
    <row r="194" spans="1:8" ht="12.75" customHeight="1">
      <c r="A194" s="23">
        <v>43223</v>
      </c>
      <c r="B194" s="23"/>
      <c r="C194" s="24">
        <f>ROUND(9.295,5)</f>
        <v>9.295</v>
      </c>
      <c r="D194" s="24">
        <f>F194</f>
        <v>9.43445</v>
      </c>
      <c r="E194" s="24">
        <f>F194</f>
        <v>9.43445</v>
      </c>
      <c r="F194" s="24">
        <f>ROUND(9.43445,5)</f>
        <v>9.43445</v>
      </c>
      <c r="G194" s="25"/>
      <c r="H194" s="26"/>
    </row>
    <row r="195" spans="1:8" ht="12.75" customHeight="1">
      <c r="A195" s="23">
        <v>43314</v>
      </c>
      <c r="B195" s="23"/>
      <c r="C195" s="24">
        <f>ROUND(9.295,5)</f>
        <v>9.295</v>
      </c>
      <c r="D195" s="24">
        <f>F195</f>
        <v>9.49163</v>
      </c>
      <c r="E195" s="24">
        <f>F195</f>
        <v>9.49163</v>
      </c>
      <c r="F195" s="24">
        <f>ROUND(9.49163,5)</f>
        <v>9.49163</v>
      </c>
      <c r="G195" s="25"/>
      <c r="H195" s="26"/>
    </row>
    <row r="196" spans="1:8" ht="12.75" customHeight="1">
      <c r="A196" s="23">
        <v>43405</v>
      </c>
      <c r="B196" s="23"/>
      <c r="C196" s="24">
        <f>ROUND(9.295,5)</f>
        <v>9.295</v>
      </c>
      <c r="D196" s="24">
        <f>F196</f>
        <v>9.55237</v>
      </c>
      <c r="E196" s="24">
        <f>F196</f>
        <v>9.55237</v>
      </c>
      <c r="F196" s="24">
        <f>ROUND(9.55237,5)</f>
        <v>9.55237</v>
      </c>
      <c r="G196" s="25"/>
      <c r="H196" s="26"/>
    </row>
    <row r="197" spans="1:8" ht="12.75" customHeight="1">
      <c r="A197" s="23" t="s">
        <v>56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43041</v>
      </c>
      <c r="B198" s="23"/>
      <c r="C198" s="24">
        <f>ROUND(9.73,5)</f>
        <v>9.73</v>
      </c>
      <c r="D198" s="24">
        <f>F198</f>
        <v>9.75119</v>
      </c>
      <c r="E198" s="24">
        <f>F198</f>
        <v>9.75119</v>
      </c>
      <c r="F198" s="24">
        <f>ROUND(9.75119,5)</f>
        <v>9.75119</v>
      </c>
      <c r="G198" s="25"/>
      <c r="H198" s="26"/>
    </row>
    <row r="199" spans="1:8" ht="12.75" customHeight="1">
      <c r="A199" s="23">
        <v>43132</v>
      </c>
      <c r="B199" s="23"/>
      <c r="C199" s="24">
        <f>ROUND(9.73,5)</f>
        <v>9.73</v>
      </c>
      <c r="D199" s="24">
        <f>F199</f>
        <v>9.81211</v>
      </c>
      <c r="E199" s="24">
        <f>F199</f>
        <v>9.81211</v>
      </c>
      <c r="F199" s="24">
        <f>ROUND(9.81211,5)</f>
        <v>9.81211</v>
      </c>
      <c r="G199" s="25"/>
      <c r="H199" s="26"/>
    </row>
    <row r="200" spans="1:8" ht="12.75" customHeight="1">
      <c r="A200" s="23">
        <v>43223</v>
      </c>
      <c r="B200" s="23"/>
      <c r="C200" s="24">
        <f>ROUND(9.73,5)</f>
        <v>9.73</v>
      </c>
      <c r="D200" s="24">
        <f>F200</f>
        <v>9.8689</v>
      </c>
      <c r="E200" s="24">
        <f>F200</f>
        <v>9.8689</v>
      </c>
      <c r="F200" s="24">
        <f>ROUND(9.8689,5)</f>
        <v>9.8689</v>
      </c>
      <c r="G200" s="25"/>
      <c r="H200" s="26"/>
    </row>
    <row r="201" spans="1:8" ht="12.75" customHeight="1">
      <c r="A201" s="23">
        <v>43314</v>
      </c>
      <c r="B201" s="23"/>
      <c r="C201" s="24">
        <f>ROUND(9.73,5)</f>
        <v>9.73</v>
      </c>
      <c r="D201" s="24">
        <f>F201</f>
        <v>9.92586</v>
      </c>
      <c r="E201" s="24">
        <f>F201</f>
        <v>9.92586</v>
      </c>
      <c r="F201" s="24">
        <f>ROUND(9.92586,5)</f>
        <v>9.92586</v>
      </c>
      <c r="G201" s="25"/>
      <c r="H201" s="26"/>
    </row>
    <row r="202" spans="1:8" ht="12.75" customHeight="1">
      <c r="A202" s="23">
        <v>43405</v>
      </c>
      <c r="B202" s="23"/>
      <c r="C202" s="24">
        <f>ROUND(9.73,5)</f>
        <v>9.73</v>
      </c>
      <c r="D202" s="24">
        <f>F202</f>
        <v>9.98539</v>
      </c>
      <c r="E202" s="24">
        <f>F202</f>
        <v>9.98539</v>
      </c>
      <c r="F202" s="24">
        <f>ROUND(9.98539,5)</f>
        <v>9.98539</v>
      </c>
      <c r="G202" s="25"/>
      <c r="H202" s="26"/>
    </row>
    <row r="203" spans="1:8" ht="12.75" customHeight="1">
      <c r="A203" s="23" t="s">
        <v>57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43041</v>
      </c>
      <c r="B204" s="23"/>
      <c r="C204" s="24">
        <f>ROUND(9.8,5)</f>
        <v>9.8</v>
      </c>
      <c r="D204" s="24">
        <f>F204</f>
        <v>9.82196</v>
      </c>
      <c r="E204" s="24">
        <f>F204</f>
        <v>9.82196</v>
      </c>
      <c r="F204" s="24">
        <f>ROUND(9.82196,5)</f>
        <v>9.82196</v>
      </c>
      <c r="G204" s="25"/>
      <c r="H204" s="26"/>
    </row>
    <row r="205" spans="1:8" ht="12.75" customHeight="1">
      <c r="A205" s="23">
        <v>43132</v>
      </c>
      <c r="B205" s="23"/>
      <c r="C205" s="24">
        <f>ROUND(9.8,5)</f>
        <v>9.8</v>
      </c>
      <c r="D205" s="24">
        <f>F205</f>
        <v>9.88519</v>
      </c>
      <c r="E205" s="24">
        <f>F205</f>
        <v>9.88519</v>
      </c>
      <c r="F205" s="24">
        <f>ROUND(9.88519,5)</f>
        <v>9.88519</v>
      </c>
      <c r="G205" s="25"/>
      <c r="H205" s="26"/>
    </row>
    <row r="206" spans="1:8" ht="12.75" customHeight="1">
      <c r="A206" s="23">
        <v>43223</v>
      </c>
      <c r="B206" s="23"/>
      <c r="C206" s="24">
        <f>ROUND(9.8,5)</f>
        <v>9.8</v>
      </c>
      <c r="D206" s="24">
        <f>F206</f>
        <v>9.94424</v>
      </c>
      <c r="E206" s="24">
        <f>F206</f>
        <v>9.94424</v>
      </c>
      <c r="F206" s="24">
        <f>ROUND(9.94424,5)</f>
        <v>9.94424</v>
      </c>
      <c r="G206" s="25"/>
      <c r="H206" s="26"/>
    </row>
    <row r="207" spans="1:8" ht="12.75" customHeight="1">
      <c r="A207" s="23">
        <v>43314</v>
      </c>
      <c r="B207" s="23"/>
      <c r="C207" s="24">
        <f>ROUND(9.8,5)</f>
        <v>9.8</v>
      </c>
      <c r="D207" s="24">
        <f>F207</f>
        <v>10.00357</v>
      </c>
      <c r="E207" s="24">
        <f>F207</f>
        <v>10.00357</v>
      </c>
      <c r="F207" s="24">
        <f>ROUND(10.00357,5)</f>
        <v>10.00357</v>
      </c>
      <c r="G207" s="25"/>
      <c r="H207" s="26"/>
    </row>
    <row r="208" spans="1:8" ht="12.75" customHeight="1">
      <c r="A208" s="23">
        <v>43405</v>
      </c>
      <c r="B208" s="23"/>
      <c r="C208" s="24">
        <f>ROUND(9.8,5)</f>
        <v>9.8</v>
      </c>
      <c r="D208" s="24">
        <f>F208</f>
        <v>10.06553</v>
      </c>
      <c r="E208" s="24">
        <f>F208</f>
        <v>10.06553</v>
      </c>
      <c r="F208" s="24">
        <f>ROUND(10.06553,5)</f>
        <v>10.06553</v>
      </c>
      <c r="G208" s="25"/>
      <c r="H208" s="26"/>
    </row>
    <row r="209" spans="1:8" ht="12.75" customHeight="1">
      <c r="A209" s="23" t="s">
        <v>58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43096</v>
      </c>
      <c r="B210" s="23"/>
      <c r="C210" s="28">
        <f>ROUND(10.7036695625,4)</f>
        <v>10.7037</v>
      </c>
      <c r="D210" s="28">
        <f>F210</f>
        <v>10.8365</v>
      </c>
      <c r="E210" s="28">
        <f>F210</f>
        <v>10.8365</v>
      </c>
      <c r="F210" s="28">
        <f>ROUND(10.8365,4)</f>
        <v>10.8365</v>
      </c>
      <c r="G210" s="25"/>
      <c r="H210" s="26"/>
    </row>
    <row r="211" spans="1:8" ht="12.75" customHeight="1">
      <c r="A211" s="23" t="s">
        <v>59</v>
      </c>
      <c r="B211" s="23"/>
      <c r="C211" s="27"/>
      <c r="D211" s="27"/>
      <c r="E211" s="27"/>
      <c r="F211" s="27"/>
      <c r="G211" s="25"/>
      <c r="H211" s="26"/>
    </row>
    <row r="212" spans="1:8" ht="12.75" customHeight="1">
      <c r="A212" s="23">
        <v>43011</v>
      </c>
      <c r="B212" s="23"/>
      <c r="C212" s="28">
        <f>ROUND(16.0864496875,4)</f>
        <v>16.0864</v>
      </c>
      <c r="D212" s="28">
        <f>F212</f>
        <v>16.0828</v>
      </c>
      <c r="E212" s="28">
        <f>F212</f>
        <v>16.0828</v>
      </c>
      <c r="F212" s="28">
        <f>ROUND(16.0828,4)</f>
        <v>16.0828</v>
      </c>
      <c r="G212" s="25"/>
      <c r="H212" s="26"/>
    </row>
    <row r="213" spans="1:8" ht="12.75" customHeight="1">
      <c r="A213" s="23">
        <v>43019</v>
      </c>
      <c r="B213" s="23"/>
      <c r="C213" s="28">
        <f>ROUND(16.0864496875,4)</f>
        <v>16.0864</v>
      </c>
      <c r="D213" s="28">
        <f>F213</f>
        <v>16.1045</v>
      </c>
      <c r="E213" s="28">
        <f>F213</f>
        <v>16.1045</v>
      </c>
      <c r="F213" s="28">
        <f>ROUND(16.1045,4)</f>
        <v>16.1045</v>
      </c>
      <c r="G213" s="25"/>
      <c r="H213" s="26"/>
    </row>
    <row r="214" spans="1:8" ht="12.75" customHeight="1">
      <c r="A214" s="23">
        <v>43035</v>
      </c>
      <c r="B214" s="23"/>
      <c r="C214" s="28">
        <f>ROUND(16.0864496875,4)</f>
        <v>16.0864</v>
      </c>
      <c r="D214" s="28">
        <f>F214</f>
        <v>16.1606</v>
      </c>
      <c r="E214" s="28">
        <f>F214</f>
        <v>16.1606</v>
      </c>
      <c r="F214" s="28">
        <f>ROUND(16.1606,4)</f>
        <v>16.1606</v>
      </c>
      <c r="G214" s="25"/>
      <c r="H214" s="26"/>
    </row>
    <row r="215" spans="1:8" ht="12.75" customHeight="1">
      <c r="A215" s="23">
        <v>43054</v>
      </c>
      <c r="B215" s="23"/>
      <c r="C215" s="28">
        <f>ROUND(16.0864496875,4)</f>
        <v>16.0864</v>
      </c>
      <c r="D215" s="28">
        <f>F215</f>
        <v>16.2283</v>
      </c>
      <c r="E215" s="28">
        <f>F215</f>
        <v>16.2283</v>
      </c>
      <c r="F215" s="28">
        <f>ROUND(16.2283,4)</f>
        <v>16.2283</v>
      </c>
      <c r="G215" s="25"/>
      <c r="H215" s="26"/>
    </row>
    <row r="216" spans="1:8" ht="12.75" customHeight="1">
      <c r="A216" s="23">
        <v>43067</v>
      </c>
      <c r="B216" s="23"/>
      <c r="C216" s="28">
        <f>ROUND(16.0864496875,4)</f>
        <v>16.0864</v>
      </c>
      <c r="D216" s="28">
        <f>F216</f>
        <v>16.2729</v>
      </c>
      <c r="E216" s="28">
        <f>F216</f>
        <v>16.2729</v>
      </c>
      <c r="F216" s="28">
        <f>ROUND(16.2729,4)</f>
        <v>16.2729</v>
      </c>
      <c r="G216" s="25"/>
      <c r="H216" s="26"/>
    </row>
    <row r="217" spans="1:8" ht="12.75" customHeight="1">
      <c r="A217" s="23">
        <v>43096</v>
      </c>
      <c r="B217" s="23"/>
      <c r="C217" s="28">
        <f>ROUND(16.0864496875,4)</f>
        <v>16.0864</v>
      </c>
      <c r="D217" s="28">
        <f>F217</f>
        <v>16.3776</v>
      </c>
      <c r="E217" s="28">
        <f>F217</f>
        <v>16.3776</v>
      </c>
      <c r="F217" s="28">
        <f>ROUND(16.3776,4)</f>
        <v>16.3776</v>
      </c>
      <c r="G217" s="25"/>
      <c r="H217" s="26"/>
    </row>
    <row r="218" spans="1:8" ht="12.75" customHeight="1">
      <c r="A218" s="23">
        <v>43131</v>
      </c>
      <c r="B218" s="23"/>
      <c r="C218" s="28">
        <f>ROUND(16.0864496875,4)</f>
        <v>16.0864</v>
      </c>
      <c r="D218" s="28">
        <f>F218</f>
        <v>16.501</v>
      </c>
      <c r="E218" s="28">
        <f>F218</f>
        <v>16.501</v>
      </c>
      <c r="F218" s="28">
        <f>ROUND(16.501,4)</f>
        <v>16.501</v>
      </c>
      <c r="G218" s="25"/>
      <c r="H218" s="26"/>
    </row>
    <row r="219" spans="1:8" ht="12.75" customHeight="1">
      <c r="A219" s="23" t="s">
        <v>60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43011</v>
      </c>
      <c r="B220" s="23"/>
      <c r="C220" s="28">
        <f>ROUND(18.1209778125,4)</f>
        <v>18.121</v>
      </c>
      <c r="D220" s="28">
        <f>F220</f>
        <v>18.1278</v>
      </c>
      <c r="E220" s="28">
        <f>F220</f>
        <v>18.1278</v>
      </c>
      <c r="F220" s="28">
        <f>ROUND(18.1278,4)</f>
        <v>18.1278</v>
      </c>
      <c r="G220" s="25"/>
      <c r="H220" s="26"/>
    </row>
    <row r="221" spans="1:8" ht="12.75" customHeight="1">
      <c r="A221" s="23">
        <v>43039</v>
      </c>
      <c r="B221" s="23"/>
      <c r="C221" s="28">
        <f>ROUND(18.1209778125,4)</f>
        <v>18.121</v>
      </c>
      <c r="D221" s="28">
        <f>F221</f>
        <v>18.212</v>
      </c>
      <c r="E221" s="28">
        <f>F221</f>
        <v>18.212</v>
      </c>
      <c r="F221" s="28">
        <f>ROUND(18.212,4)</f>
        <v>18.212</v>
      </c>
      <c r="G221" s="25"/>
      <c r="H221" s="26"/>
    </row>
    <row r="222" spans="1:8" ht="12.75" customHeight="1">
      <c r="A222" s="23" t="s">
        <v>61</v>
      </c>
      <c r="B222" s="23"/>
      <c r="C222" s="27"/>
      <c r="D222" s="27"/>
      <c r="E222" s="27"/>
      <c r="F222" s="27"/>
      <c r="G222" s="25"/>
      <c r="H222" s="26"/>
    </row>
    <row r="223" spans="1:8" ht="12.75" customHeight="1">
      <c r="A223" s="23">
        <v>43014</v>
      </c>
      <c r="B223" s="23"/>
      <c r="C223" s="28">
        <f>ROUND(13.6775,4)</f>
        <v>13.6775</v>
      </c>
      <c r="D223" s="28">
        <f>F223</f>
        <v>13.6797</v>
      </c>
      <c r="E223" s="28">
        <f>F223</f>
        <v>13.6797</v>
      </c>
      <c r="F223" s="28">
        <f>ROUND(13.6797,4)</f>
        <v>13.6797</v>
      </c>
      <c r="G223" s="25"/>
      <c r="H223" s="26"/>
    </row>
    <row r="224" spans="1:8" ht="12.75" customHeight="1">
      <c r="A224" s="23">
        <v>43018</v>
      </c>
      <c r="B224" s="23"/>
      <c r="C224" s="28">
        <f>ROUND(13.6775,4)</f>
        <v>13.6775</v>
      </c>
      <c r="D224" s="28">
        <f>F224</f>
        <v>13.6873</v>
      </c>
      <c r="E224" s="28">
        <f>F224</f>
        <v>13.6873</v>
      </c>
      <c r="F224" s="28">
        <f>ROUND(13.6873,4)</f>
        <v>13.6873</v>
      </c>
      <c r="G224" s="25"/>
      <c r="H224" s="26"/>
    </row>
    <row r="225" spans="1:8" ht="12.75" customHeight="1">
      <c r="A225" s="23">
        <v>43021</v>
      </c>
      <c r="B225" s="23"/>
      <c r="C225" s="28">
        <f>ROUND(13.6775,4)</f>
        <v>13.6775</v>
      </c>
      <c r="D225" s="28">
        <f>F225</f>
        <v>13.6929</v>
      </c>
      <c r="E225" s="28">
        <f>F225</f>
        <v>13.6929</v>
      </c>
      <c r="F225" s="28">
        <f>ROUND(13.6929,4)</f>
        <v>13.6929</v>
      </c>
      <c r="G225" s="25"/>
      <c r="H225" s="26"/>
    </row>
    <row r="226" spans="1:8" ht="12.75" customHeight="1">
      <c r="A226" s="23">
        <v>43024</v>
      </c>
      <c r="B226" s="23"/>
      <c r="C226" s="28">
        <f>ROUND(13.6775,4)</f>
        <v>13.6775</v>
      </c>
      <c r="D226" s="28">
        <f>F226</f>
        <v>13.6999</v>
      </c>
      <c r="E226" s="28">
        <f>F226</f>
        <v>13.6999</v>
      </c>
      <c r="F226" s="28">
        <f>ROUND(13.6999,4)</f>
        <v>13.6999</v>
      </c>
      <c r="G226" s="25"/>
      <c r="H226" s="26"/>
    </row>
    <row r="227" spans="1:8" ht="12.75" customHeight="1">
      <c r="A227" s="23">
        <v>43031</v>
      </c>
      <c r="B227" s="23"/>
      <c r="C227" s="28">
        <f>ROUND(13.6775,4)</f>
        <v>13.6775</v>
      </c>
      <c r="D227" s="28">
        <f>F227</f>
        <v>13.7163</v>
      </c>
      <c r="E227" s="28">
        <f>F227</f>
        <v>13.7163</v>
      </c>
      <c r="F227" s="28">
        <f>ROUND(13.7163,4)</f>
        <v>13.7163</v>
      </c>
      <c r="G227" s="25"/>
      <c r="H227" s="26"/>
    </row>
    <row r="228" spans="1:8" ht="12.75" customHeight="1">
      <c r="A228" s="23">
        <v>43035</v>
      </c>
      <c r="B228" s="23"/>
      <c r="C228" s="28">
        <f>ROUND(13.6775,4)</f>
        <v>13.6775</v>
      </c>
      <c r="D228" s="28">
        <f>F228</f>
        <v>13.7256</v>
      </c>
      <c r="E228" s="28">
        <f>F228</f>
        <v>13.7256</v>
      </c>
      <c r="F228" s="28">
        <f>ROUND(13.7256,4)</f>
        <v>13.7256</v>
      </c>
      <c r="G228" s="25"/>
      <c r="H228" s="26"/>
    </row>
    <row r="229" spans="1:8" ht="12.75" customHeight="1">
      <c r="A229" s="23">
        <v>43042</v>
      </c>
      <c r="B229" s="23"/>
      <c r="C229" s="28">
        <f>ROUND(13.6775,4)</f>
        <v>13.6775</v>
      </c>
      <c r="D229" s="28">
        <f>F229</f>
        <v>13.7419</v>
      </c>
      <c r="E229" s="28">
        <f>F229</f>
        <v>13.7419</v>
      </c>
      <c r="F229" s="28">
        <f>ROUND(13.7419,4)</f>
        <v>13.7419</v>
      </c>
      <c r="G229" s="25"/>
      <c r="H229" s="26"/>
    </row>
    <row r="230" spans="1:8" ht="12.75" customHeight="1">
      <c r="A230" s="23">
        <v>43045</v>
      </c>
      <c r="B230" s="23"/>
      <c r="C230" s="28">
        <f>ROUND(13.6775,4)</f>
        <v>13.6775</v>
      </c>
      <c r="D230" s="28">
        <f>F230</f>
        <v>13.7489</v>
      </c>
      <c r="E230" s="28">
        <f>F230</f>
        <v>13.7489</v>
      </c>
      <c r="F230" s="28">
        <f>ROUND(13.7489,4)</f>
        <v>13.7489</v>
      </c>
      <c r="G230" s="25"/>
      <c r="H230" s="26"/>
    </row>
    <row r="231" spans="1:8" ht="12.75" customHeight="1">
      <c r="A231" s="23">
        <v>43048</v>
      </c>
      <c r="B231" s="23"/>
      <c r="C231" s="28">
        <f>ROUND(13.6775,4)</f>
        <v>13.6775</v>
      </c>
      <c r="D231" s="28">
        <f>F231</f>
        <v>13.7555</v>
      </c>
      <c r="E231" s="28">
        <f>F231</f>
        <v>13.7555</v>
      </c>
      <c r="F231" s="28">
        <f>ROUND(13.7555,4)</f>
        <v>13.7555</v>
      </c>
      <c r="G231" s="25"/>
      <c r="H231" s="26"/>
    </row>
    <row r="232" spans="1:8" ht="12.75" customHeight="1">
      <c r="A232" s="23">
        <v>43052</v>
      </c>
      <c r="B232" s="23"/>
      <c r="C232" s="28">
        <f>ROUND(13.6775,4)</f>
        <v>13.6775</v>
      </c>
      <c r="D232" s="28">
        <f>F232</f>
        <v>13.7643</v>
      </c>
      <c r="E232" s="28">
        <f>F232</f>
        <v>13.7643</v>
      </c>
      <c r="F232" s="28">
        <f>ROUND(13.7643,4)</f>
        <v>13.7643</v>
      </c>
      <c r="G232" s="25"/>
      <c r="H232" s="26"/>
    </row>
    <row r="233" spans="1:8" ht="12.75" customHeight="1">
      <c r="A233" s="23">
        <v>43055</v>
      </c>
      <c r="B233" s="23"/>
      <c r="C233" s="28">
        <f>ROUND(13.6775,4)</f>
        <v>13.6775</v>
      </c>
      <c r="D233" s="28">
        <f>F233</f>
        <v>13.7709</v>
      </c>
      <c r="E233" s="28">
        <f>F233</f>
        <v>13.7709</v>
      </c>
      <c r="F233" s="28">
        <f>ROUND(13.7709,4)</f>
        <v>13.7709</v>
      </c>
      <c r="G233" s="25"/>
      <c r="H233" s="26"/>
    </row>
    <row r="234" spans="1:8" ht="12.75" customHeight="1">
      <c r="A234" s="23">
        <v>43056</v>
      </c>
      <c r="B234" s="23"/>
      <c r="C234" s="28">
        <f>ROUND(13.6775,4)</f>
        <v>13.6775</v>
      </c>
      <c r="D234" s="28">
        <f>F234</f>
        <v>13.7731</v>
      </c>
      <c r="E234" s="28">
        <f>F234</f>
        <v>13.7731</v>
      </c>
      <c r="F234" s="28">
        <f>ROUND(13.7731,4)</f>
        <v>13.7731</v>
      </c>
      <c r="G234" s="25"/>
      <c r="H234" s="26"/>
    </row>
    <row r="235" spans="1:8" ht="12.75" customHeight="1">
      <c r="A235" s="23">
        <v>43067</v>
      </c>
      <c r="B235" s="23"/>
      <c r="C235" s="28">
        <f>ROUND(13.6775,4)</f>
        <v>13.6775</v>
      </c>
      <c r="D235" s="28">
        <f>F235</f>
        <v>13.7973</v>
      </c>
      <c r="E235" s="28">
        <f>F235</f>
        <v>13.7973</v>
      </c>
      <c r="F235" s="28">
        <f>ROUND(13.7973,4)</f>
        <v>13.7973</v>
      </c>
      <c r="G235" s="25"/>
      <c r="H235" s="26"/>
    </row>
    <row r="236" spans="1:8" ht="12.75" customHeight="1">
      <c r="A236" s="23">
        <v>43069</v>
      </c>
      <c r="B236" s="23"/>
      <c r="C236" s="28">
        <f>ROUND(13.6775,4)</f>
        <v>13.6775</v>
      </c>
      <c r="D236" s="28">
        <f>F236</f>
        <v>13.8017</v>
      </c>
      <c r="E236" s="28">
        <f>F236</f>
        <v>13.8017</v>
      </c>
      <c r="F236" s="28">
        <f>ROUND(13.8017,4)</f>
        <v>13.8017</v>
      </c>
      <c r="G236" s="25"/>
      <c r="H236" s="26"/>
    </row>
    <row r="237" spans="1:8" ht="12.75" customHeight="1">
      <c r="A237" s="23">
        <v>43084</v>
      </c>
      <c r="B237" s="23"/>
      <c r="C237" s="28">
        <f>ROUND(13.6775,4)</f>
        <v>13.6775</v>
      </c>
      <c r="D237" s="28">
        <f>F237</f>
        <v>13.8347</v>
      </c>
      <c r="E237" s="28">
        <f>F237</f>
        <v>13.8347</v>
      </c>
      <c r="F237" s="28">
        <f>ROUND(13.8347,4)</f>
        <v>13.8347</v>
      </c>
      <c r="G237" s="25"/>
      <c r="H237" s="26"/>
    </row>
    <row r="238" spans="1:8" ht="12.75" customHeight="1">
      <c r="A238" s="23">
        <v>43091</v>
      </c>
      <c r="B238" s="23"/>
      <c r="C238" s="28">
        <f>ROUND(13.6775,4)</f>
        <v>13.6775</v>
      </c>
      <c r="D238" s="28">
        <f>F238</f>
        <v>13.85</v>
      </c>
      <c r="E238" s="28">
        <f>F238</f>
        <v>13.85</v>
      </c>
      <c r="F238" s="28">
        <f>ROUND(13.85,4)</f>
        <v>13.85</v>
      </c>
      <c r="G238" s="25"/>
      <c r="H238" s="26"/>
    </row>
    <row r="239" spans="1:8" ht="12.75" customHeight="1">
      <c r="A239" s="23">
        <v>43096</v>
      </c>
      <c r="B239" s="23"/>
      <c r="C239" s="28">
        <f>ROUND(13.6775,4)</f>
        <v>13.6775</v>
      </c>
      <c r="D239" s="28">
        <f>F239</f>
        <v>13.861</v>
      </c>
      <c r="E239" s="28">
        <f>F239</f>
        <v>13.861</v>
      </c>
      <c r="F239" s="28">
        <f>ROUND(13.861,4)</f>
        <v>13.861</v>
      </c>
      <c r="G239" s="25"/>
      <c r="H239" s="26"/>
    </row>
    <row r="240" spans="1:8" ht="12.75" customHeight="1">
      <c r="A240" s="23">
        <v>43102</v>
      </c>
      <c r="B240" s="23"/>
      <c r="C240" s="28">
        <f>ROUND(13.6775,4)</f>
        <v>13.6775</v>
      </c>
      <c r="D240" s="28">
        <f>F240</f>
        <v>13.8741</v>
      </c>
      <c r="E240" s="28">
        <f>F240</f>
        <v>13.8741</v>
      </c>
      <c r="F240" s="28">
        <f>ROUND(13.8741,4)</f>
        <v>13.8741</v>
      </c>
      <c r="G240" s="25"/>
      <c r="H240" s="26"/>
    </row>
    <row r="241" spans="1:8" ht="12.75" customHeight="1">
      <c r="A241" s="23">
        <v>43109</v>
      </c>
      <c r="B241" s="23"/>
      <c r="C241" s="28">
        <f>ROUND(13.6775,4)</f>
        <v>13.6775</v>
      </c>
      <c r="D241" s="28">
        <f>F241</f>
        <v>13.8893</v>
      </c>
      <c r="E241" s="28">
        <f>F241</f>
        <v>13.8893</v>
      </c>
      <c r="F241" s="28">
        <f>ROUND(13.8893,4)</f>
        <v>13.8893</v>
      </c>
      <c r="G241" s="25"/>
      <c r="H241" s="26"/>
    </row>
    <row r="242" spans="1:8" ht="12.75" customHeight="1">
      <c r="A242" s="23">
        <v>43131</v>
      </c>
      <c r="B242" s="23"/>
      <c r="C242" s="28">
        <f>ROUND(13.6775,4)</f>
        <v>13.6775</v>
      </c>
      <c r="D242" s="28">
        <f>F242</f>
        <v>13.9366</v>
      </c>
      <c r="E242" s="28">
        <f>F242</f>
        <v>13.9366</v>
      </c>
      <c r="F242" s="28">
        <f>ROUND(13.9366,4)</f>
        <v>13.9366</v>
      </c>
      <c r="G242" s="25"/>
      <c r="H242" s="26"/>
    </row>
    <row r="243" spans="1:8" ht="12.75" customHeight="1">
      <c r="A243" s="23">
        <v>43132</v>
      </c>
      <c r="B243" s="23"/>
      <c r="C243" s="28">
        <f>ROUND(13.6775,4)</f>
        <v>13.6775</v>
      </c>
      <c r="D243" s="28">
        <f>F243</f>
        <v>13.9387</v>
      </c>
      <c r="E243" s="28">
        <f>F243</f>
        <v>13.9387</v>
      </c>
      <c r="F243" s="28">
        <f>ROUND(13.9387,4)</f>
        <v>13.9387</v>
      </c>
      <c r="G243" s="25"/>
      <c r="H243" s="26"/>
    </row>
    <row r="244" spans="1:8" ht="12.75" customHeight="1">
      <c r="A244" s="23">
        <v>43144</v>
      </c>
      <c r="B244" s="23"/>
      <c r="C244" s="28">
        <f>ROUND(13.6775,4)</f>
        <v>13.6775</v>
      </c>
      <c r="D244" s="28">
        <f>F244</f>
        <v>13.9645</v>
      </c>
      <c r="E244" s="28">
        <f>F244</f>
        <v>13.9645</v>
      </c>
      <c r="F244" s="28">
        <f>ROUND(13.9645,4)</f>
        <v>13.9645</v>
      </c>
      <c r="G244" s="25"/>
      <c r="H244" s="26"/>
    </row>
    <row r="245" spans="1:8" ht="12.75" customHeight="1">
      <c r="A245" s="23">
        <v>43146</v>
      </c>
      <c r="B245" s="23"/>
      <c r="C245" s="28">
        <f>ROUND(13.6775,4)</f>
        <v>13.6775</v>
      </c>
      <c r="D245" s="28">
        <f>F245</f>
        <v>13.9688</v>
      </c>
      <c r="E245" s="28">
        <f>F245</f>
        <v>13.9688</v>
      </c>
      <c r="F245" s="28">
        <f>ROUND(13.9688,4)</f>
        <v>13.9688</v>
      </c>
      <c r="G245" s="25"/>
      <c r="H245" s="26"/>
    </row>
    <row r="246" spans="1:8" ht="12.75" customHeight="1">
      <c r="A246" s="23">
        <v>43215</v>
      </c>
      <c r="B246" s="23"/>
      <c r="C246" s="28">
        <f>ROUND(13.6775,4)</f>
        <v>13.6775</v>
      </c>
      <c r="D246" s="28">
        <f>F246</f>
        <v>14.1162</v>
      </c>
      <c r="E246" s="28">
        <f>F246</f>
        <v>14.1162</v>
      </c>
      <c r="F246" s="28">
        <f>ROUND(14.1162,4)</f>
        <v>14.1162</v>
      </c>
      <c r="G246" s="25"/>
      <c r="H246" s="26"/>
    </row>
    <row r="247" spans="1:8" ht="12.75" customHeight="1">
      <c r="A247" s="23">
        <v>43231</v>
      </c>
      <c r="B247" s="23"/>
      <c r="C247" s="28">
        <f>ROUND(13.6775,4)</f>
        <v>13.6775</v>
      </c>
      <c r="D247" s="28">
        <f>F247</f>
        <v>14.1499</v>
      </c>
      <c r="E247" s="28">
        <f>F247</f>
        <v>14.1499</v>
      </c>
      <c r="F247" s="28">
        <f>ROUND(14.1499,4)</f>
        <v>14.1499</v>
      </c>
      <c r="G247" s="25"/>
      <c r="H247" s="26"/>
    </row>
    <row r="248" spans="1:8" ht="12.75" customHeight="1">
      <c r="A248" s="23">
        <v>43235</v>
      </c>
      <c r="B248" s="23"/>
      <c r="C248" s="28">
        <f>ROUND(13.6775,4)</f>
        <v>13.6775</v>
      </c>
      <c r="D248" s="28">
        <f>F248</f>
        <v>14.1583</v>
      </c>
      <c r="E248" s="28">
        <f>F248</f>
        <v>14.1583</v>
      </c>
      <c r="F248" s="28">
        <f>ROUND(14.1583,4)</f>
        <v>14.1583</v>
      </c>
      <c r="G248" s="25"/>
      <c r="H248" s="26"/>
    </row>
    <row r="249" spans="1:8" ht="12.75" customHeight="1">
      <c r="A249" s="23">
        <v>43283</v>
      </c>
      <c r="B249" s="23"/>
      <c r="C249" s="28">
        <f>ROUND(13.6775,4)</f>
        <v>13.6775</v>
      </c>
      <c r="D249" s="28">
        <f>F249</f>
        <v>14.2594</v>
      </c>
      <c r="E249" s="28">
        <f>F249</f>
        <v>14.2594</v>
      </c>
      <c r="F249" s="28">
        <f>ROUND(14.2594,4)</f>
        <v>14.2594</v>
      </c>
      <c r="G249" s="25"/>
      <c r="H249" s="26"/>
    </row>
    <row r="250" spans="1:8" ht="12.75" customHeight="1">
      <c r="A250" s="23">
        <v>43301</v>
      </c>
      <c r="B250" s="23"/>
      <c r="C250" s="28">
        <f>ROUND(13.6775,4)</f>
        <v>13.6775</v>
      </c>
      <c r="D250" s="28">
        <f>F250</f>
        <v>14.2966</v>
      </c>
      <c r="E250" s="28">
        <f>F250</f>
        <v>14.2966</v>
      </c>
      <c r="F250" s="28">
        <f>ROUND(14.2966,4)</f>
        <v>14.2966</v>
      </c>
      <c r="G250" s="25"/>
      <c r="H250" s="26"/>
    </row>
    <row r="251" spans="1:8" ht="12.75" customHeight="1">
      <c r="A251" s="23">
        <v>43325</v>
      </c>
      <c r="B251" s="23"/>
      <c r="C251" s="28">
        <f>ROUND(13.6775,4)</f>
        <v>13.6775</v>
      </c>
      <c r="D251" s="28">
        <f>F251</f>
        <v>14.3459</v>
      </c>
      <c r="E251" s="28">
        <f>F251</f>
        <v>14.3459</v>
      </c>
      <c r="F251" s="28">
        <f>ROUND(14.3459,4)</f>
        <v>14.3459</v>
      </c>
      <c r="G251" s="25"/>
      <c r="H251" s="26"/>
    </row>
    <row r="252" spans="1:8" ht="12.75" customHeight="1">
      <c r="A252" s="23">
        <v>43417</v>
      </c>
      <c r="B252" s="23"/>
      <c r="C252" s="28">
        <f>ROUND(13.6775,4)</f>
        <v>13.6775</v>
      </c>
      <c r="D252" s="28">
        <f>F252</f>
        <v>14.5412</v>
      </c>
      <c r="E252" s="28">
        <f>F252</f>
        <v>14.5412</v>
      </c>
      <c r="F252" s="28">
        <f>ROUND(14.5412,4)</f>
        <v>14.5412</v>
      </c>
      <c r="G252" s="25"/>
      <c r="H252" s="26"/>
    </row>
    <row r="253" spans="1:8" ht="12.75" customHeight="1">
      <c r="A253" s="23">
        <v>43509</v>
      </c>
      <c r="B253" s="23"/>
      <c r="C253" s="28">
        <f>ROUND(13.6775,4)</f>
        <v>13.6775</v>
      </c>
      <c r="D253" s="28">
        <f>F253</f>
        <v>14.7447</v>
      </c>
      <c r="E253" s="28">
        <f>F253</f>
        <v>14.7447</v>
      </c>
      <c r="F253" s="28">
        <f>ROUND(14.7447,4)</f>
        <v>14.7447</v>
      </c>
      <c r="G253" s="25"/>
      <c r="H253" s="26"/>
    </row>
    <row r="254" spans="1:8" ht="12.75" customHeight="1">
      <c r="A254" s="23">
        <v>44040</v>
      </c>
      <c r="B254" s="23"/>
      <c r="C254" s="28">
        <f>ROUND(13.6775,4)</f>
        <v>13.6775</v>
      </c>
      <c r="D254" s="28">
        <f>F254</f>
        <v>16.0263</v>
      </c>
      <c r="E254" s="28">
        <f>F254</f>
        <v>16.0263</v>
      </c>
      <c r="F254" s="28">
        <f>ROUND(16.0263,4)</f>
        <v>16.0263</v>
      </c>
      <c r="G254" s="25"/>
      <c r="H254" s="26"/>
    </row>
    <row r="255" spans="1:8" ht="12.75" customHeight="1">
      <c r="A255" s="23" t="s">
        <v>62</v>
      </c>
      <c r="B255" s="23"/>
      <c r="C255" s="27"/>
      <c r="D255" s="27"/>
      <c r="E255" s="27"/>
      <c r="F255" s="27"/>
      <c r="G255" s="25"/>
      <c r="H255" s="26"/>
    </row>
    <row r="256" spans="1:8" ht="12.75" customHeight="1">
      <c r="A256" s="23">
        <v>43087</v>
      </c>
      <c r="B256" s="23"/>
      <c r="C256" s="28">
        <f>ROUND(1.176125,4)</f>
        <v>1.1761</v>
      </c>
      <c r="D256" s="28">
        <f>F256</f>
        <v>1.1809</v>
      </c>
      <c r="E256" s="28">
        <f>F256</f>
        <v>1.1809</v>
      </c>
      <c r="F256" s="28">
        <f>ROUND(1.1809,4)</f>
        <v>1.1809</v>
      </c>
      <c r="G256" s="25"/>
      <c r="H256" s="26"/>
    </row>
    <row r="257" spans="1:8" ht="12.75" customHeight="1">
      <c r="A257" s="23">
        <v>43178</v>
      </c>
      <c r="B257" s="23"/>
      <c r="C257" s="28">
        <f>ROUND(1.176125,4)</f>
        <v>1.1761</v>
      </c>
      <c r="D257" s="28">
        <f>F257</f>
        <v>1.1873</v>
      </c>
      <c r="E257" s="28">
        <f>F257</f>
        <v>1.1873</v>
      </c>
      <c r="F257" s="28">
        <f>ROUND(1.1873,4)</f>
        <v>1.1873</v>
      </c>
      <c r="G257" s="25"/>
      <c r="H257" s="26"/>
    </row>
    <row r="258" spans="1:8" ht="12.75" customHeight="1">
      <c r="A258" s="23">
        <v>43269</v>
      </c>
      <c r="B258" s="23"/>
      <c r="C258" s="28">
        <f>ROUND(1.176125,4)</f>
        <v>1.1761</v>
      </c>
      <c r="D258" s="28">
        <f>F258</f>
        <v>1.1939</v>
      </c>
      <c r="E258" s="28">
        <f>F258</f>
        <v>1.1939</v>
      </c>
      <c r="F258" s="28">
        <f>ROUND(1.1939,4)</f>
        <v>1.1939</v>
      </c>
      <c r="G258" s="25"/>
      <c r="H258" s="26"/>
    </row>
    <row r="259" spans="1:8" ht="12.75" customHeight="1">
      <c r="A259" s="23">
        <v>43360</v>
      </c>
      <c r="B259" s="23"/>
      <c r="C259" s="28">
        <f>ROUND(1.176125,4)</f>
        <v>1.1761</v>
      </c>
      <c r="D259" s="28">
        <f>F259</f>
        <v>1.2008</v>
      </c>
      <c r="E259" s="28">
        <f>F259</f>
        <v>1.2008</v>
      </c>
      <c r="F259" s="28">
        <f>ROUND(1.2008,4)</f>
        <v>1.2008</v>
      </c>
      <c r="G259" s="25"/>
      <c r="H259" s="26"/>
    </row>
    <row r="260" spans="1:8" ht="12.75" customHeight="1">
      <c r="A260" s="23" t="s">
        <v>63</v>
      </c>
      <c r="B260" s="23"/>
      <c r="C260" s="27"/>
      <c r="D260" s="27"/>
      <c r="E260" s="27"/>
      <c r="F260" s="27"/>
      <c r="G260" s="25"/>
      <c r="H260" s="26"/>
    </row>
    <row r="261" spans="1:8" ht="12.75" customHeight="1">
      <c r="A261" s="23">
        <v>43087</v>
      </c>
      <c r="B261" s="23"/>
      <c r="C261" s="28">
        <f>ROUND(1.324875,4)</f>
        <v>1.3249</v>
      </c>
      <c r="D261" s="28">
        <f>F261</f>
        <v>1.3279</v>
      </c>
      <c r="E261" s="28">
        <f>F261</f>
        <v>1.3279</v>
      </c>
      <c r="F261" s="28">
        <f>ROUND(1.3279,4)</f>
        <v>1.3279</v>
      </c>
      <c r="G261" s="25"/>
      <c r="H261" s="26"/>
    </row>
    <row r="262" spans="1:8" ht="12.75" customHeight="1">
      <c r="A262" s="23">
        <v>43178</v>
      </c>
      <c r="B262" s="23"/>
      <c r="C262" s="28">
        <f>ROUND(1.324875,4)</f>
        <v>1.3249</v>
      </c>
      <c r="D262" s="28">
        <f>F262</f>
        <v>1.3316</v>
      </c>
      <c r="E262" s="28">
        <f>F262</f>
        <v>1.3316</v>
      </c>
      <c r="F262" s="28">
        <f>ROUND(1.3316,4)</f>
        <v>1.3316</v>
      </c>
      <c r="G262" s="25"/>
      <c r="H262" s="26"/>
    </row>
    <row r="263" spans="1:8" ht="12.75" customHeight="1">
      <c r="A263" s="23">
        <v>43269</v>
      </c>
      <c r="B263" s="23"/>
      <c r="C263" s="28">
        <f>ROUND(1.324875,4)</f>
        <v>1.3249</v>
      </c>
      <c r="D263" s="28">
        <f>F263</f>
        <v>1.3352</v>
      </c>
      <c r="E263" s="28">
        <f>F263</f>
        <v>1.3352</v>
      </c>
      <c r="F263" s="28">
        <f>ROUND(1.3352,4)</f>
        <v>1.3352</v>
      </c>
      <c r="G263" s="25"/>
      <c r="H263" s="26"/>
    </row>
    <row r="264" spans="1:8" ht="12.75" customHeight="1">
      <c r="A264" s="23">
        <v>43360</v>
      </c>
      <c r="B264" s="23"/>
      <c r="C264" s="28">
        <f>ROUND(1.324875,4)</f>
        <v>1.3249</v>
      </c>
      <c r="D264" s="28">
        <f>F264</f>
        <v>1.3388</v>
      </c>
      <c r="E264" s="28">
        <f>F264</f>
        <v>1.3388</v>
      </c>
      <c r="F264" s="28">
        <f>ROUND(1.3388,4)</f>
        <v>1.3388</v>
      </c>
      <c r="G264" s="25"/>
      <c r="H264" s="26"/>
    </row>
    <row r="265" spans="1:8" ht="12.75" customHeight="1">
      <c r="A265" s="23" t="s">
        <v>64</v>
      </c>
      <c r="B265" s="23"/>
      <c r="C265" s="27"/>
      <c r="D265" s="27"/>
      <c r="E265" s="27"/>
      <c r="F265" s="27"/>
      <c r="G265" s="25"/>
      <c r="H265" s="26"/>
    </row>
    <row r="266" spans="1:8" ht="12.75" customHeight="1">
      <c r="A266" s="23">
        <v>43087</v>
      </c>
      <c r="B266" s="23"/>
      <c r="C266" s="28">
        <f>ROUND(10.7036695625,4)</f>
        <v>10.7037</v>
      </c>
      <c r="D266" s="28">
        <f>F266</f>
        <v>10.8221</v>
      </c>
      <c r="E266" s="28">
        <f>F266</f>
        <v>10.8221</v>
      </c>
      <c r="F266" s="28">
        <f>ROUND(10.8221,4)</f>
        <v>10.8221</v>
      </c>
      <c r="G266" s="25"/>
      <c r="H266" s="26"/>
    </row>
    <row r="267" spans="1:8" ht="12.75" customHeight="1">
      <c r="A267" s="23">
        <v>43178</v>
      </c>
      <c r="B267" s="23"/>
      <c r="C267" s="28">
        <f>ROUND(10.7036695625,4)</f>
        <v>10.7037</v>
      </c>
      <c r="D267" s="28">
        <f>F267</f>
        <v>10.9658</v>
      </c>
      <c r="E267" s="28">
        <f>F267</f>
        <v>10.9658</v>
      </c>
      <c r="F267" s="28">
        <f>ROUND(10.9658,4)</f>
        <v>10.9658</v>
      </c>
      <c r="G267" s="25"/>
      <c r="H267" s="26"/>
    </row>
    <row r="268" spans="1:8" ht="12.75" customHeight="1">
      <c r="A268" s="23">
        <v>43269</v>
      </c>
      <c r="B268" s="23"/>
      <c r="C268" s="28">
        <f>ROUND(10.7036695625,4)</f>
        <v>10.7037</v>
      </c>
      <c r="D268" s="28">
        <f>F268</f>
        <v>11.106</v>
      </c>
      <c r="E268" s="28">
        <f>F268</f>
        <v>11.106</v>
      </c>
      <c r="F268" s="28">
        <f>ROUND(11.106,4)</f>
        <v>11.106</v>
      </c>
      <c r="G268" s="25"/>
      <c r="H268" s="26"/>
    </row>
    <row r="269" spans="1:8" ht="12.75" customHeight="1">
      <c r="A269" s="23">
        <v>43360</v>
      </c>
      <c r="B269" s="23"/>
      <c r="C269" s="28">
        <f>ROUND(10.7036695625,4)</f>
        <v>10.7037</v>
      </c>
      <c r="D269" s="28">
        <f>F269</f>
        <v>11.2419</v>
      </c>
      <c r="E269" s="28">
        <f>F269</f>
        <v>11.2419</v>
      </c>
      <c r="F269" s="28">
        <f>ROUND(11.2419,4)</f>
        <v>11.2419</v>
      </c>
      <c r="G269" s="25"/>
      <c r="H269" s="26"/>
    </row>
    <row r="270" spans="1:8" ht="12.75" customHeight="1">
      <c r="A270" s="23">
        <v>43448</v>
      </c>
      <c r="B270" s="23"/>
      <c r="C270" s="28">
        <f>ROUND(10.7036695625,4)</f>
        <v>10.7037</v>
      </c>
      <c r="D270" s="28">
        <f>F270</f>
        <v>11.3801</v>
      </c>
      <c r="E270" s="28">
        <f>F270</f>
        <v>11.3801</v>
      </c>
      <c r="F270" s="28">
        <f>ROUND(11.3801,4)</f>
        <v>11.3801</v>
      </c>
      <c r="G270" s="25"/>
      <c r="H270" s="26"/>
    </row>
    <row r="271" spans="1:8" ht="12.75" customHeight="1">
      <c r="A271" s="23">
        <v>43542</v>
      </c>
      <c r="B271" s="23"/>
      <c r="C271" s="28">
        <f>ROUND(10.7036695625,4)</f>
        <v>10.7037</v>
      </c>
      <c r="D271" s="28">
        <f>F271</f>
        <v>11.5256</v>
      </c>
      <c r="E271" s="28">
        <f>F271</f>
        <v>11.5256</v>
      </c>
      <c r="F271" s="28">
        <f>ROUND(11.5256,4)</f>
        <v>11.5256</v>
      </c>
      <c r="G271" s="25"/>
      <c r="H271" s="26"/>
    </row>
    <row r="272" spans="1:8" ht="12.75" customHeight="1">
      <c r="A272" s="23">
        <v>43630</v>
      </c>
      <c r="B272" s="23"/>
      <c r="C272" s="28">
        <f>ROUND(10.7036695625,4)</f>
        <v>10.7037</v>
      </c>
      <c r="D272" s="28">
        <f>F272</f>
        <v>11.6622</v>
      </c>
      <c r="E272" s="28">
        <f>F272</f>
        <v>11.6622</v>
      </c>
      <c r="F272" s="28">
        <f>ROUND(11.6622,4)</f>
        <v>11.6622</v>
      </c>
      <c r="G272" s="25"/>
      <c r="H272" s="26"/>
    </row>
    <row r="273" spans="1:8" ht="12.75" customHeight="1">
      <c r="A273" s="23">
        <v>43724</v>
      </c>
      <c r="B273" s="23"/>
      <c r="C273" s="28">
        <f>ROUND(10.7036695625,4)</f>
        <v>10.7037</v>
      </c>
      <c r="D273" s="28">
        <f>F273</f>
        <v>11.8091</v>
      </c>
      <c r="E273" s="28">
        <f>F273</f>
        <v>11.8091</v>
      </c>
      <c r="F273" s="28">
        <f>ROUND(11.8091,4)</f>
        <v>11.8091</v>
      </c>
      <c r="G273" s="25"/>
      <c r="H273" s="26"/>
    </row>
    <row r="274" spans="1:8" ht="12.75" customHeight="1">
      <c r="A274" s="23" t="s">
        <v>65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43087</v>
      </c>
      <c r="B275" s="23"/>
      <c r="C275" s="28">
        <f>ROUND(3.72389664842495,4)</f>
        <v>3.7239</v>
      </c>
      <c r="D275" s="28">
        <f>F275</f>
        <v>4.0873</v>
      </c>
      <c r="E275" s="28">
        <f>F275</f>
        <v>4.0873</v>
      </c>
      <c r="F275" s="28">
        <f>ROUND(4.0873,4)</f>
        <v>4.0873</v>
      </c>
      <c r="G275" s="25"/>
      <c r="H275" s="26"/>
    </row>
    <row r="276" spans="1:8" ht="12.75" customHeight="1">
      <c r="A276" s="23">
        <v>43178</v>
      </c>
      <c r="B276" s="23"/>
      <c r="C276" s="28">
        <f>ROUND(3.72389664842495,4)</f>
        <v>3.7239</v>
      </c>
      <c r="D276" s="28">
        <f>F276</f>
        <v>4.1439</v>
      </c>
      <c r="E276" s="28">
        <f>F276</f>
        <v>4.1439</v>
      </c>
      <c r="F276" s="28">
        <f>ROUND(4.1439,4)</f>
        <v>4.1439</v>
      </c>
      <c r="G276" s="25"/>
      <c r="H276" s="26"/>
    </row>
    <row r="277" spans="1:8" ht="12.75" customHeight="1">
      <c r="A277" s="23">
        <v>43269</v>
      </c>
      <c r="B277" s="23"/>
      <c r="C277" s="28">
        <f>ROUND(3.72389664842495,4)</f>
        <v>3.7239</v>
      </c>
      <c r="D277" s="28">
        <f>F277</f>
        <v>4.2035</v>
      </c>
      <c r="E277" s="28">
        <f>F277</f>
        <v>4.2035</v>
      </c>
      <c r="F277" s="28">
        <f>ROUND(4.2035,4)</f>
        <v>4.2035</v>
      </c>
      <c r="G277" s="25"/>
      <c r="H277" s="26"/>
    </row>
    <row r="278" spans="1:8" ht="12.75" customHeight="1">
      <c r="A278" s="23" t="s">
        <v>66</v>
      </c>
      <c r="B278" s="23"/>
      <c r="C278" s="27"/>
      <c r="D278" s="27"/>
      <c r="E278" s="27"/>
      <c r="F278" s="27"/>
      <c r="G278" s="25"/>
      <c r="H278" s="26"/>
    </row>
    <row r="279" spans="1:8" ht="12.75" customHeight="1">
      <c r="A279" s="23">
        <v>43087</v>
      </c>
      <c r="B279" s="23"/>
      <c r="C279" s="28">
        <f>ROUND(1.3157755,4)</f>
        <v>1.3158</v>
      </c>
      <c r="D279" s="28">
        <f>F279</f>
        <v>1.3264</v>
      </c>
      <c r="E279" s="28">
        <f>F279</f>
        <v>1.3264</v>
      </c>
      <c r="F279" s="28">
        <f>ROUND(1.3264,4)</f>
        <v>1.3264</v>
      </c>
      <c r="G279" s="25"/>
      <c r="H279" s="26"/>
    </row>
    <row r="280" spans="1:8" ht="12.75" customHeight="1">
      <c r="A280" s="23">
        <v>43178</v>
      </c>
      <c r="B280" s="23"/>
      <c r="C280" s="28">
        <f>ROUND(1.3157755,4)</f>
        <v>1.3158</v>
      </c>
      <c r="D280" s="28">
        <f>F280</f>
        <v>1.3357</v>
      </c>
      <c r="E280" s="28">
        <f>F280</f>
        <v>1.3357</v>
      </c>
      <c r="F280" s="28">
        <f>ROUND(1.3357,4)</f>
        <v>1.3357</v>
      </c>
      <c r="G280" s="25"/>
      <c r="H280" s="26"/>
    </row>
    <row r="281" spans="1:8" ht="12.75" customHeight="1">
      <c r="A281" s="23">
        <v>43269</v>
      </c>
      <c r="B281" s="23"/>
      <c r="C281" s="28">
        <f>ROUND(1.3157755,4)</f>
        <v>1.3158</v>
      </c>
      <c r="D281" s="28">
        <f>F281</f>
        <v>1.3463</v>
      </c>
      <c r="E281" s="28">
        <f>F281</f>
        <v>1.3463</v>
      </c>
      <c r="F281" s="28">
        <f>ROUND(1.3463,4)</f>
        <v>1.3463</v>
      </c>
      <c r="G281" s="25"/>
      <c r="H281" s="26"/>
    </row>
    <row r="282" spans="1:8" ht="12.75" customHeight="1">
      <c r="A282" s="23">
        <v>43360</v>
      </c>
      <c r="B282" s="23"/>
      <c r="C282" s="28">
        <f>ROUND(1.3157755,4)</f>
        <v>1.3158</v>
      </c>
      <c r="D282" s="28">
        <f>F282</f>
        <v>1.3683</v>
      </c>
      <c r="E282" s="28">
        <f>F282</f>
        <v>1.3683</v>
      </c>
      <c r="F282" s="28">
        <f>ROUND(1.3683,4)</f>
        <v>1.3683</v>
      </c>
      <c r="G282" s="25"/>
      <c r="H282" s="26"/>
    </row>
    <row r="283" spans="1:8" ht="12.75" customHeight="1">
      <c r="A283" s="23">
        <v>43448</v>
      </c>
      <c r="B283" s="23"/>
      <c r="C283" s="28">
        <f>ROUND(1.3157755,4)</f>
        <v>1.3158</v>
      </c>
      <c r="D283" s="28">
        <f>F283</f>
        <v>1.4475</v>
      </c>
      <c r="E283" s="28">
        <f>F283</f>
        <v>1.4475</v>
      </c>
      <c r="F283" s="28">
        <f>ROUND(1.4475,4)</f>
        <v>1.4475</v>
      </c>
      <c r="G283" s="25"/>
      <c r="H283" s="26"/>
    </row>
    <row r="284" spans="1:8" ht="12.75" customHeight="1">
      <c r="A284" s="23">
        <v>43542</v>
      </c>
      <c r="B284" s="23"/>
      <c r="C284" s="28">
        <f>ROUND(1.3157755,4)</f>
        <v>1.3158</v>
      </c>
      <c r="D284" s="28">
        <f>F284</f>
        <v>1.4494</v>
      </c>
      <c r="E284" s="28">
        <f>F284</f>
        <v>1.4494</v>
      </c>
      <c r="F284" s="28">
        <f>ROUND(1.4494,4)</f>
        <v>1.4494</v>
      </c>
      <c r="G284" s="25"/>
      <c r="H284" s="26"/>
    </row>
    <row r="285" spans="1:8" ht="12.75" customHeight="1">
      <c r="A285" s="23">
        <v>43630</v>
      </c>
      <c r="B285" s="23"/>
      <c r="C285" s="28">
        <f>ROUND(1.3157755,4)</f>
        <v>1.3158</v>
      </c>
      <c r="D285" s="28">
        <f>F285</f>
        <v>1.4471</v>
      </c>
      <c r="E285" s="28">
        <f>F285</f>
        <v>1.4471</v>
      </c>
      <c r="F285" s="28">
        <f>ROUND(1.4471,4)</f>
        <v>1.4471</v>
      </c>
      <c r="G285" s="25"/>
      <c r="H285" s="26"/>
    </row>
    <row r="286" spans="1:8" ht="12.75" customHeight="1">
      <c r="A286" s="23">
        <v>43724</v>
      </c>
      <c r="B286" s="23"/>
      <c r="C286" s="28">
        <f>ROUND(1.3157755,4)</f>
        <v>1.3158</v>
      </c>
      <c r="D286" s="28">
        <f>F286</f>
        <v>1.441</v>
      </c>
      <c r="E286" s="28">
        <f>F286</f>
        <v>1.441</v>
      </c>
      <c r="F286" s="28">
        <f>ROUND(1.441,4)</f>
        <v>1.441</v>
      </c>
      <c r="G286" s="25"/>
      <c r="H286" s="26"/>
    </row>
    <row r="287" spans="1:8" ht="12.75" customHeight="1">
      <c r="A287" s="23" t="s">
        <v>67</v>
      </c>
      <c r="B287" s="23"/>
      <c r="C287" s="27"/>
      <c r="D287" s="27"/>
      <c r="E287" s="27"/>
      <c r="F287" s="27"/>
      <c r="G287" s="25"/>
      <c r="H287" s="26"/>
    </row>
    <row r="288" spans="1:8" ht="12.75" customHeight="1">
      <c r="A288" s="23">
        <v>43087</v>
      </c>
      <c r="B288" s="23"/>
      <c r="C288" s="28">
        <f>ROUND(10.942,4)</f>
        <v>10.942</v>
      </c>
      <c r="D288" s="28">
        <f>F288</f>
        <v>11.0782</v>
      </c>
      <c r="E288" s="28">
        <f>F288</f>
        <v>11.0782</v>
      </c>
      <c r="F288" s="28">
        <f>ROUND(11.0782,4)</f>
        <v>11.0782</v>
      </c>
      <c r="G288" s="25"/>
      <c r="H288" s="26"/>
    </row>
    <row r="289" spans="1:8" ht="12.75" customHeight="1">
      <c r="A289" s="23">
        <v>43178</v>
      </c>
      <c r="B289" s="23"/>
      <c r="C289" s="28">
        <f>ROUND(10.942,4)</f>
        <v>10.942</v>
      </c>
      <c r="D289" s="28">
        <f>F289</f>
        <v>11.2396</v>
      </c>
      <c r="E289" s="28">
        <f>F289</f>
        <v>11.2396</v>
      </c>
      <c r="F289" s="28">
        <f>ROUND(11.2396,4)</f>
        <v>11.2396</v>
      </c>
      <c r="G289" s="25"/>
      <c r="H289" s="26"/>
    </row>
    <row r="290" spans="1:8" ht="12.75" customHeight="1">
      <c r="A290" s="23">
        <v>43269</v>
      </c>
      <c r="B290" s="23"/>
      <c r="C290" s="28">
        <f>ROUND(10.942,4)</f>
        <v>10.942</v>
      </c>
      <c r="D290" s="28">
        <f>F290</f>
        <v>11.3949</v>
      </c>
      <c r="E290" s="28">
        <f>F290</f>
        <v>11.3949</v>
      </c>
      <c r="F290" s="28">
        <f>ROUND(11.3949,4)</f>
        <v>11.3949</v>
      </c>
      <c r="G290" s="25"/>
      <c r="H290" s="26"/>
    </row>
    <row r="291" spans="1:8" ht="12.75" customHeight="1">
      <c r="A291" s="23">
        <v>43360</v>
      </c>
      <c r="B291" s="23"/>
      <c r="C291" s="28">
        <f>ROUND(10.942,4)</f>
        <v>10.942</v>
      </c>
      <c r="D291" s="28">
        <f>F291</f>
        <v>11.3955</v>
      </c>
      <c r="E291" s="28">
        <f>F291</f>
        <v>11.3955</v>
      </c>
      <c r="F291" s="28">
        <f>ROUND(11.3955,4)</f>
        <v>11.3955</v>
      </c>
      <c r="G291" s="25"/>
      <c r="H291" s="26"/>
    </row>
    <row r="292" spans="1:8" ht="12.75" customHeight="1">
      <c r="A292" s="23">
        <v>43448</v>
      </c>
      <c r="B292" s="23"/>
      <c r="C292" s="28">
        <f>ROUND(10.942,4)</f>
        <v>10.942</v>
      </c>
      <c r="D292" s="28">
        <f>F292</f>
        <v>11.5466</v>
      </c>
      <c r="E292" s="28">
        <f>F292</f>
        <v>11.5466</v>
      </c>
      <c r="F292" s="28">
        <f>ROUND(11.5466,4)</f>
        <v>11.5466</v>
      </c>
      <c r="G292" s="25"/>
      <c r="H292" s="26"/>
    </row>
    <row r="293" spans="1:8" ht="12.75" customHeight="1">
      <c r="A293" s="23">
        <v>43542</v>
      </c>
      <c r="B293" s="23"/>
      <c r="C293" s="28">
        <f>ROUND(10.942,4)</f>
        <v>10.942</v>
      </c>
      <c r="D293" s="28">
        <f>F293</f>
        <v>11.7016</v>
      </c>
      <c r="E293" s="28">
        <f>F293</f>
        <v>11.7016</v>
      </c>
      <c r="F293" s="28">
        <f>ROUND(11.7016,4)</f>
        <v>11.7016</v>
      </c>
      <c r="G293" s="25"/>
      <c r="H293" s="26"/>
    </row>
    <row r="294" spans="1:8" ht="12.75" customHeight="1">
      <c r="A294" s="23">
        <v>43630</v>
      </c>
      <c r="B294" s="23"/>
      <c r="C294" s="28">
        <f>ROUND(10.942,4)</f>
        <v>10.942</v>
      </c>
      <c r="D294" s="28">
        <f>F294</f>
        <v>11.8541</v>
      </c>
      <c r="E294" s="28">
        <f>F294</f>
        <v>11.8541</v>
      </c>
      <c r="F294" s="28">
        <f>ROUND(11.8541,4)</f>
        <v>11.8541</v>
      </c>
      <c r="G294" s="25"/>
      <c r="H294" s="26"/>
    </row>
    <row r="295" spans="1:8" ht="12.75" customHeight="1">
      <c r="A295" s="23">
        <v>43724</v>
      </c>
      <c r="B295" s="23"/>
      <c r="C295" s="28">
        <f>ROUND(10.942,4)</f>
        <v>10.942</v>
      </c>
      <c r="D295" s="28">
        <f>F295</f>
        <v>12.0098</v>
      </c>
      <c r="E295" s="28">
        <f>F295</f>
        <v>12.0098</v>
      </c>
      <c r="F295" s="28">
        <f>ROUND(12.0098,4)</f>
        <v>12.0098</v>
      </c>
      <c r="G295" s="25"/>
      <c r="H295" s="26"/>
    </row>
    <row r="296" spans="1:8" ht="12.75" customHeight="1">
      <c r="A296" s="23" t="s">
        <v>68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43087</v>
      </c>
      <c r="B297" s="23"/>
      <c r="C297" s="28">
        <f>ROUND(2.07752519756542,4)</f>
        <v>2.0775</v>
      </c>
      <c r="D297" s="28">
        <f>F297</f>
        <v>2.0682</v>
      </c>
      <c r="E297" s="28">
        <f>F297</f>
        <v>2.0682</v>
      </c>
      <c r="F297" s="28">
        <f>ROUND(2.0682,4)</f>
        <v>2.0682</v>
      </c>
      <c r="G297" s="25"/>
      <c r="H297" s="26"/>
    </row>
    <row r="298" spans="1:8" ht="12.75" customHeight="1">
      <c r="A298" s="23">
        <v>43178</v>
      </c>
      <c r="B298" s="23"/>
      <c r="C298" s="28">
        <f>ROUND(2.07752519756542,4)</f>
        <v>2.0775</v>
      </c>
      <c r="D298" s="28">
        <f>F298</f>
        <v>2.0859</v>
      </c>
      <c r="E298" s="28">
        <f>F298</f>
        <v>2.0859</v>
      </c>
      <c r="F298" s="28">
        <f>ROUND(2.0859,4)</f>
        <v>2.0859</v>
      </c>
      <c r="G298" s="25"/>
      <c r="H298" s="26"/>
    </row>
    <row r="299" spans="1:8" ht="12.75" customHeight="1">
      <c r="A299" s="23">
        <v>43269</v>
      </c>
      <c r="B299" s="23"/>
      <c r="C299" s="28">
        <f>ROUND(2.07752519756542,4)</f>
        <v>2.0775</v>
      </c>
      <c r="D299" s="28">
        <f>F299</f>
        <v>2.1028</v>
      </c>
      <c r="E299" s="28">
        <f>F299</f>
        <v>2.1028</v>
      </c>
      <c r="F299" s="28">
        <f>ROUND(2.1028,4)</f>
        <v>2.1028</v>
      </c>
      <c r="G299" s="25"/>
      <c r="H299" s="26"/>
    </row>
    <row r="300" spans="1:8" ht="12.75" customHeight="1">
      <c r="A300" s="23">
        <v>43360</v>
      </c>
      <c r="B300" s="23"/>
      <c r="C300" s="28">
        <f>ROUND(2.07752519756542,4)</f>
        <v>2.0775</v>
      </c>
      <c r="D300" s="28">
        <f>F300</f>
        <v>2.119</v>
      </c>
      <c r="E300" s="28">
        <f>F300</f>
        <v>2.119</v>
      </c>
      <c r="F300" s="28">
        <f>ROUND(2.119,4)</f>
        <v>2.119</v>
      </c>
      <c r="G300" s="25"/>
      <c r="H300" s="26"/>
    </row>
    <row r="301" spans="1:8" ht="12.75" customHeight="1">
      <c r="A301" s="23">
        <v>43448</v>
      </c>
      <c r="B301" s="23"/>
      <c r="C301" s="28">
        <f>ROUND(2.07752519756542,4)</f>
        <v>2.0775</v>
      </c>
      <c r="D301" s="28">
        <f>F301</f>
        <v>2.136</v>
      </c>
      <c r="E301" s="28">
        <f>F301</f>
        <v>2.136</v>
      </c>
      <c r="F301" s="28">
        <f>ROUND(2.136,4)</f>
        <v>2.136</v>
      </c>
      <c r="G301" s="25"/>
      <c r="H301" s="26"/>
    </row>
    <row r="302" spans="1:8" ht="12.75" customHeight="1">
      <c r="A302" s="23">
        <v>43542</v>
      </c>
      <c r="B302" s="23"/>
      <c r="C302" s="28">
        <f>ROUND(2.07752519756542,4)</f>
        <v>2.0775</v>
      </c>
      <c r="D302" s="28">
        <f>F302</f>
        <v>2.1544</v>
      </c>
      <c r="E302" s="28">
        <f>F302</f>
        <v>2.1544</v>
      </c>
      <c r="F302" s="28">
        <f>ROUND(2.1544,4)</f>
        <v>2.1544</v>
      </c>
      <c r="G302" s="25"/>
      <c r="H302" s="26"/>
    </row>
    <row r="303" spans="1:8" ht="12.75" customHeight="1">
      <c r="A303" s="23">
        <v>43630</v>
      </c>
      <c r="B303" s="23"/>
      <c r="C303" s="28">
        <f>ROUND(2.07752519756542,4)</f>
        <v>2.0775</v>
      </c>
      <c r="D303" s="28">
        <f>F303</f>
        <v>2.1715</v>
      </c>
      <c r="E303" s="28">
        <f>F303</f>
        <v>2.1715</v>
      </c>
      <c r="F303" s="28">
        <f>ROUND(2.1715,4)</f>
        <v>2.1715</v>
      </c>
      <c r="G303" s="25"/>
      <c r="H303" s="26"/>
    </row>
    <row r="304" spans="1:8" ht="12.75" customHeight="1">
      <c r="A304" s="23">
        <v>43724</v>
      </c>
      <c r="B304" s="23"/>
      <c r="C304" s="28">
        <f>ROUND(2.07752519756542,4)</f>
        <v>2.0775</v>
      </c>
      <c r="D304" s="28">
        <f>F304</f>
        <v>2.1895</v>
      </c>
      <c r="E304" s="28">
        <f>F304</f>
        <v>2.1895</v>
      </c>
      <c r="F304" s="28">
        <f>ROUND(2.1895,4)</f>
        <v>2.1895</v>
      </c>
      <c r="G304" s="25"/>
      <c r="H304" s="26"/>
    </row>
    <row r="305" spans="1:8" ht="12.75" customHeight="1">
      <c r="A305" s="23" t="s">
        <v>69</v>
      </c>
      <c r="B305" s="23"/>
      <c r="C305" s="27"/>
      <c r="D305" s="27"/>
      <c r="E305" s="27"/>
      <c r="F305" s="27"/>
      <c r="G305" s="25"/>
      <c r="H305" s="26"/>
    </row>
    <row r="306" spans="1:8" ht="12.75" customHeight="1">
      <c r="A306" s="23">
        <v>43087</v>
      </c>
      <c r="B306" s="23"/>
      <c r="C306" s="28">
        <f>ROUND(2.16115219314878,4)</f>
        <v>2.1612</v>
      </c>
      <c r="D306" s="28">
        <f>F306</f>
        <v>2.2056</v>
      </c>
      <c r="E306" s="28">
        <f>F306</f>
        <v>2.2056</v>
      </c>
      <c r="F306" s="28">
        <f>ROUND(2.2056,4)</f>
        <v>2.2056</v>
      </c>
      <c r="G306" s="25"/>
      <c r="H306" s="26"/>
    </row>
    <row r="307" spans="1:8" ht="12.75" customHeight="1">
      <c r="A307" s="23">
        <v>43178</v>
      </c>
      <c r="B307" s="23"/>
      <c r="C307" s="28">
        <f>ROUND(2.16115219314878,4)</f>
        <v>2.1612</v>
      </c>
      <c r="D307" s="28">
        <f>F307</f>
        <v>2.2499</v>
      </c>
      <c r="E307" s="28">
        <f>F307</f>
        <v>2.2499</v>
      </c>
      <c r="F307" s="28">
        <f>ROUND(2.2499,4)</f>
        <v>2.2499</v>
      </c>
      <c r="G307" s="25"/>
      <c r="H307" s="26"/>
    </row>
    <row r="308" spans="1:8" ht="12.75" customHeight="1">
      <c r="A308" s="23">
        <v>43269</v>
      </c>
      <c r="B308" s="23"/>
      <c r="C308" s="28">
        <f>ROUND(2.16115219314878,4)</f>
        <v>2.1612</v>
      </c>
      <c r="D308" s="28">
        <f>F308</f>
        <v>2.2948</v>
      </c>
      <c r="E308" s="28">
        <f>F308</f>
        <v>2.2948</v>
      </c>
      <c r="F308" s="28">
        <f>ROUND(2.2948,4)</f>
        <v>2.2948</v>
      </c>
      <c r="G308" s="25"/>
      <c r="H308" s="26"/>
    </row>
    <row r="309" spans="1:8" ht="12.75" customHeight="1">
      <c r="A309" s="23">
        <v>43360</v>
      </c>
      <c r="B309" s="23"/>
      <c r="C309" s="28">
        <f>ROUND(2.16115219314878,4)</f>
        <v>2.1612</v>
      </c>
      <c r="D309" s="28">
        <f>F309</f>
        <v>2.3357</v>
      </c>
      <c r="E309" s="28">
        <f>F309</f>
        <v>2.3357</v>
      </c>
      <c r="F309" s="28">
        <f>ROUND(2.3357,4)</f>
        <v>2.3357</v>
      </c>
      <c r="G309" s="25"/>
      <c r="H309" s="26"/>
    </row>
    <row r="310" spans="1:8" ht="12.75" customHeight="1">
      <c r="A310" s="23">
        <v>43448</v>
      </c>
      <c r="B310" s="23"/>
      <c r="C310" s="28">
        <f>ROUND(2.16115219314878,4)</f>
        <v>2.1612</v>
      </c>
      <c r="D310" s="28">
        <f>F310</f>
        <v>2.4805</v>
      </c>
      <c r="E310" s="28">
        <f>F310</f>
        <v>2.4805</v>
      </c>
      <c r="F310" s="28">
        <f>ROUND(2.4805,4)</f>
        <v>2.4805</v>
      </c>
      <c r="G310" s="25"/>
      <c r="H310" s="26"/>
    </row>
    <row r="311" spans="1:8" ht="12.75" customHeight="1">
      <c r="A311" s="23">
        <v>43542</v>
      </c>
      <c r="B311" s="23"/>
      <c r="C311" s="28">
        <f>ROUND(2.16115219314878,4)</f>
        <v>2.1612</v>
      </c>
      <c r="D311" s="28">
        <f>F311</f>
        <v>2.54</v>
      </c>
      <c r="E311" s="28">
        <f>F311</f>
        <v>2.54</v>
      </c>
      <c r="F311" s="28">
        <f>ROUND(2.54,4)</f>
        <v>2.54</v>
      </c>
      <c r="G311" s="25"/>
      <c r="H311" s="26"/>
    </row>
    <row r="312" spans="1:8" ht="12.75" customHeight="1">
      <c r="A312" s="23">
        <v>43630</v>
      </c>
      <c r="B312" s="23"/>
      <c r="C312" s="28">
        <f>ROUND(2.16115219314878,4)</f>
        <v>2.1612</v>
      </c>
      <c r="D312" s="28">
        <f>F312</f>
        <v>2.603</v>
      </c>
      <c r="E312" s="28">
        <f>F312</f>
        <v>2.603</v>
      </c>
      <c r="F312" s="28">
        <f>ROUND(2.603,4)</f>
        <v>2.603</v>
      </c>
      <c r="G312" s="25"/>
      <c r="H312" s="26"/>
    </row>
    <row r="313" spans="1:8" ht="12.75" customHeight="1">
      <c r="A313" s="23">
        <v>43724</v>
      </c>
      <c r="B313" s="23"/>
      <c r="C313" s="28">
        <f>ROUND(2.16115219314878,4)</f>
        <v>2.1612</v>
      </c>
      <c r="D313" s="28">
        <f>F313</f>
        <v>2.6662</v>
      </c>
      <c r="E313" s="28">
        <f>F313</f>
        <v>2.6662</v>
      </c>
      <c r="F313" s="28">
        <f>ROUND(2.6662,4)</f>
        <v>2.6662</v>
      </c>
      <c r="G313" s="25"/>
      <c r="H313" s="26"/>
    </row>
    <row r="314" spans="1:8" ht="12.75" customHeight="1">
      <c r="A314" s="23" t="s">
        <v>70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43087</v>
      </c>
      <c r="B315" s="23"/>
      <c r="C315" s="28">
        <f>ROUND(16.0864496875,4)</f>
        <v>16.0864</v>
      </c>
      <c r="D315" s="28">
        <f>F315</f>
        <v>16.3445</v>
      </c>
      <c r="E315" s="28">
        <f>F315</f>
        <v>16.3445</v>
      </c>
      <c r="F315" s="28">
        <f>ROUND(16.3445,4)</f>
        <v>16.3445</v>
      </c>
      <c r="G315" s="25"/>
      <c r="H315" s="26"/>
    </row>
    <row r="316" spans="1:8" ht="12.75" customHeight="1">
      <c r="A316" s="23">
        <v>43178</v>
      </c>
      <c r="B316" s="23"/>
      <c r="C316" s="28">
        <f>ROUND(16.0864496875,4)</f>
        <v>16.0864</v>
      </c>
      <c r="D316" s="28">
        <f>F316</f>
        <v>16.6666</v>
      </c>
      <c r="E316" s="28">
        <f>F316</f>
        <v>16.6666</v>
      </c>
      <c r="F316" s="28">
        <f>ROUND(16.6666,4)</f>
        <v>16.6666</v>
      </c>
      <c r="G316" s="25"/>
      <c r="H316" s="26"/>
    </row>
    <row r="317" spans="1:8" ht="12.75" customHeight="1">
      <c r="A317" s="23">
        <v>43269</v>
      </c>
      <c r="B317" s="23"/>
      <c r="C317" s="28">
        <f>ROUND(16.0864496875,4)</f>
        <v>16.0864</v>
      </c>
      <c r="D317" s="28">
        <f>F317</f>
        <v>16.9892</v>
      </c>
      <c r="E317" s="28">
        <f>F317</f>
        <v>16.9892</v>
      </c>
      <c r="F317" s="28">
        <f>ROUND(16.9892,4)</f>
        <v>16.9892</v>
      </c>
      <c r="G317" s="25"/>
      <c r="H317" s="26"/>
    </row>
    <row r="318" spans="1:8" ht="12.75" customHeight="1">
      <c r="A318" s="23">
        <v>43360</v>
      </c>
      <c r="B318" s="23"/>
      <c r="C318" s="28">
        <f>ROUND(16.0864496875,4)</f>
        <v>16.0864</v>
      </c>
      <c r="D318" s="28">
        <f>F318</f>
        <v>17.3136</v>
      </c>
      <c r="E318" s="28">
        <f>F318</f>
        <v>17.3136</v>
      </c>
      <c r="F318" s="28">
        <f>ROUND(17.3136,4)</f>
        <v>17.3136</v>
      </c>
      <c r="G318" s="25"/>
      <c r="H318" s="26"/>
    </row>
    <row r="319" spans="1:8" ht="12.75" customHeight="1">
      <c r="A319" s="23">
        <v>43448</v>
      </c>
      <c r="B319" s="23"/>
      <c r="C319" s="28">
        <f>ROUND(16.0864496875,4)</f>
        <v>16.0864</v>
      </c>
      <c r="D319" s="28">
        <f>F319</f>
        <v>17.6053</v>
      </c>
      <c r="E319" s="28">
        <f>F319</f>
        <v>17.6053</v>
      </c>
      <c r="F319" s="28">
        <f>ROUND(17.6053,4)</f>
        <v>17.6053</v>
      </c>
      <c r="G319" s="25"/>
      <c r="H319" s="26"/>
    </row>
    <row r="320" spans="1:8" ht="12.75" customHeight="1">
      <c r="A320" s="23">
        <v>43542</v>
      </c>
      <c r="B320" s="23"/>
      <c r="C320" s="28">
        <f>ROUND(16.0864496875,4)</f>
        <v>16.0864</v>
      </c>
      <c r="D320" s="28">
        <f>F320</f>
        <v>17.9968</v>
      </c>
      <c r="E320" s="28">
        <f>F320</f>
        <v>17.9968</v>
      </c>
      <c r="F320" s="28">
        <f>ROUND(17.9968,4)</f>
        <v>17.9968</v>
      </c>
      <c r="G320" s="25"/>
      <c r="H320" s="26"/>
    </row>
    <row r="321" spans="1:8" ht="12.75" customHeight="1">
      <c r="A321" s="23">
        <v>43630</v>
      </c>
      <c r="B321" s="23"/>
      <c r="C321" s="28">
        <f>ROUND(16.0864496875,4)</f>
        <v>16.0864</v>
      </c>
      <c r="D321" s="28">
        <f>F321</f>
        <v>18.3951</v>
      </c>
      <c r="E321" s="28">
        <f>F321</f>
        <v>18.3951</v>
      </c>
      <c r="F321" s="28">
        <f>ROUND(18.3951,4)</f>
        <v>18.3951</v>
      </c>
      <c r="G321" s="25"/>
      <c r="H321" s="26"/>
    </row>
    <row r="322" spans="1:8" ht="12.75" customHeight="1">
      <c r="A322" s="23">
        <v>43724</v>
      </c>
      <c r="B322" s="23"/>
      <c r="C322" s="28">
        <f>ROUND(16.0864496875,4)</f>
        <v>16.0864</v>
      </c>
      <c r="D322" s="28">
        <f>F322</f>
        <v>18.8252</v>
      </c>
      <c r="E322" s="28">
        <f>F322</f>
        <v>18.8252</v>
      </c>
      <c r="F322" s="28">
        <f>ROUND(18.8252,4)</f>
        <v>18.8252</v>
      </c>
      <c r="G322" s="25"/>
      <c r="H322" s="26"/>
    </row>
    <row r="323" spans="1:8" ht="12.75" customHeight="1">
      <c r="A323" s="23" t="s">
        <v>71</v>
      </c>
      <c r="B323" s="23"/>
      <c r="C323" s="27"/>
      <c r="D323" s="27"/>
      <c r="E323" s="27"/>
      <c r="F323" s="27"/>
      <c r="G323" s="25"/>
      <c r="H323" s="26"/>
    </row>
    <row r="324" spans="1:8" ht="12.75" customHeight="1">
      <c r="A324" s="23">
        <v>43087</v>
      </c>
      <c r="B324" s="23"/>
      <c r="C324" s="28">
        <f>ROUND(14.0498202362609,4)</f>
        <v>14.0498</v>
      </c>
      <c r="D324" s="28">
        <f>F324</f>
        <v>14.2882</v>
      </c>
      <c r="E324" s="28">
        <f>F324</f>
        <v>14.2882</v>
      </c>
      <c r="F324" s="28">
        <f>ROUND(14.2882,4)</f>
        <v>14.2882</v>
      </c>
      <c r="G324" s="25"/>
      <c r="H324" s="26"/>
    </row>
    <row r="325" spans="1:8" ht="12.75" customHeight="1">
      <c r="A325" s="23">
        <v>43178</v>
      </c>
      <c r="B325" s="23"/>
      <c r="C325" s="28">
        <f>ROUND(14.0498202362609,4)</f>
        <v>14.0498</v>
      </c>
      <c r="D325" s="28">
        <f>F325</f>
        <v>14.5866</v>
      </c>
      <c r="E325" s="28">
        <f>F325</f>
        <v>14.5866</v>
      </c>
      <c r="F325" s="28">
        <f>ROUND(14.5866,4)</f>
        <v>14.5866</v>
      </c>
      <c r="G325" s="25"/>
      <c r="H325" s="26"/>
    </row>
    <row r="326" spans="1:8" ht="12.75" customHeight="1">
      <c r="A326" s="23">
        <v>43269</v>
      </c>
      <c r="B326" s="23"/>
      <c r="C326" s="28">
        <f>ROUND(14.0498202362609,4)</f>
        <v>14.0498</v>
      </c>
      <c r="D326" s="28">
        <f>F326</f>
        <v>14.8833</v>
      </c>
      <c r="E326" s="28">
        <f>F326</f>
        <v>14.8833</v>
      </c>
      <c r="F326" s="28">
        <f>ROUND(14.8833,4)</f>
        <v>14.8833</v>
      </c>
      <c r="G326" s="25"/>
      <c r="H326" s="26"/>
    </row>
    <row r="327" spans="1:8" ht="12.75" customHeight="1">
      <c r="A327" s="23">
        <v>43360</v>
      </c>
      <c r="B327" s="23"/>
      <c r="C327" s="28">
        <f>ROUND(14.0498202362609,4)</f>
        <v>14.0498</v>
      </c>
      <c r="D327" s="28">
        <f>F327</f>
        <v>15.1809</v>
      </c>
      <c r="E327" s="28">
        <f>F327</f>
        <v>15.1809</v>
      </c>
      <c r="F327" s="28">
        <f>ROUND(15.1809,4)</f>
        <v>15.1809</v>
      </c>
      <c r="G327" s="25"/>
      <c r="H327" s="26"/>
    </row>
    <row r="328" spans="1:8" ht="12.75" customHeight="1">
      <c r="A328" s="23">
        <v>43448</v>
      </c>
      <c r="B328" s="23"/>
      <c r="C328" s="28">
        <f>ROUND(14.0498202362609,4)</f>
        <v>14.0498</v>
      </c>
      <c r="D328" s="28">
        <f>F328</f>
        <v>15.443</v>
      </c>
      <c r="E328" s="28">
        <f>F328</f>
        <v>15.443</v>
      </c>
      <c r="F328" s="28">
        <f>ROUND(15.443,4)</f>
        <v>15.443</v>
      </c>
      <c r="G328" s="25"/>
      <c r="H328" s="26"/>
    </row>
    <row r="329" spans="1:8" ht="12.75" customHeight="1">
      <c r="A329" s="23">
        <v>43542</v>
      </c>
      <c r="B329" s="23"/>
      <c r="C329" s="28">
        <f>ROUND(14.0498202362609,4)</f>
        <v>14.0498</v>
      </c>
      <c r="D329" s="28">
        <f>F329</f>
        <v>16.1433</v>
      </c>
      <c r="E329" s="28">
        <f>F329</f>
        <v>16.1433</v>
      </c>
      <c r="F329" s="28">
        <f>ROUND(16.1433,4)</f>
        <v>16.1433</v>
      </c>
      <c r="G329" s="25"/>
      <c r="H329" s="26"/>
    </row>
    <row r="330" spans="1:8" ht="12.75" customHeight="1">
      <c r="A330" s="23">
        <v>43630</v>
      </c>
      <c r="B330" s="23"/>
      <c r="C330" s="28">
        <f>ROUND(14.0498202362609,4)</f>
        <v>14.0498</v>
      </c>
      <c r="D330" s="28">
        <f>F330</f>
        <v>16.4283</v>
      </c>
      <c r="E330" s="28">
        <f>F330</f>
        <v>16.4283</v>
      </c>
      <c r="F330" s="28">
        <f>ROUND(16.4283,4)</f>
        <v>16.4283</v>
      </c>
      <c r="G330" s="25"/>
      <c r="H330" s="26"/>
    </row>
    <row r="331" spans="1:8" ht="12.75" customHeight="1">
      <c r="A331" s="23">
        <v>43724</v>
      </c>
      <c r="B331" s="23"/>
      <c r="C331" s="28">
        <f>ROUND(14.0498202362609,4)</f>
        <v>14.0498</v>
      </c>
      <c r="D331" s="28">
        <f>F331</f>
        <v>16.7435</v>
      </c>
      <c r="E331" s="28">
        <f>F331</f>
        <v>16.7435</v>
      </c>
      <c r="F331" s="28">
        <f>ROUND(16.7435,4)</f>
        <v>16.7435</v>
      </c>
      <c r="G331" s="25"/>
      <c r="H331" s="26"/>
    </row>
    <row r="332" spans="1:8" ht="12.75" customHeight="1">
      <c r="A332" s="23" t="s">
        <v>72</v>
      </c>
      <c r="B332" s="23"/>
      <c r="C332" s="27"/>
      <c r="D332" s="27"/>
      <c r="E332" s="27"/>
      <c r="F332" s="27"/>
      <c r="G332" s="25"/>
      <c r="H332" s="26"/>
    </row>
    <row r="333" spans="1:8" ht="12.75" customHeight="1">
      <c r="A333" s="23">
        <v>43087</v>
      </c>
      <c r="B333" s="23"/>
      <c r="C333" s="28">
        <f>ROUND(18.1209778125,4)</f>
        <v>18.121</v>
      </c>
      <c r="D333" s="28">
        <f>F333</f>
        <v>18.379</v>
      </c>
      <c r="E333" s="28">
        <f>F333</f>
        <v>18.379</v>
      </c>
      <c r="F333" s="28">
        <f>ROUND(18.379,4)</f>
        <v>18.379</v>
      </c>
      <c r="G333" s="25"/>
      <c r="H333" s="26"/>
    </row>
    <row r="334" spans="1:8" ht="12.75" customHeight="1">
      <c r="A334" s="23">
        <v>43178</v>
      </c>
      <c r="B334" s="23"/>
      <c r="C334" s="28">
        <f>ROUND(18.1209778125,4)</f>
        <v>18.121</v>
      </c>
      <c r="D334" s="28">
        <f>F334</f>
        <v>18.6925</v>
      </c>
      <c r="E334" s="28">
        <f>F334</f>
        <v>18.6925</v>
      </c>
      <c r="F334" s="28">
        <f>ROUND(18.6925,4)</f>
        <v>18.6925</v>
      </c>
      <c r="G334" s="25"/>
      <c r="H334" s="26"/>
    </row>
    <row r="335" spans="1:8" ht="12.75" customHeight="1">
      <c r="A335" s="23">
        <v>43269</v>
      </c>
      <c r="B335" s="23"/>
      <c r="C335" s="28">
        <f>ROUND(18.1209778125,4)</f>
        <v>18.121</v>
      </c>
      <c r="D335" s="28">
        <f>F335</f>
        <v>19.0004</v>
      </c>
      <c r="E335" s="28">
        <f>F335</f>
        <v>19.0004</v>
      </c>
      <c r="F335" s="28">
        <f>ROUND(19.0004,4)</f>
        <v>19.0004</v>
      </c>
      <c r="G335" s="25"/>
      <c r="H335" s="26"/>
    </row>
    <row r="336" spans="1:8" ht="12.75" customHeight="1">
      <c r="A336" s="23">
        <v>43360</v>
      </c>
      <c r="B336" s="23"/>
      <c r="C336" s="28">
        <f>ROUND(18.1209778125,4)</f>
        <v>18.121</v>
      </c>
      <c r="D336" s="28">
        <f>F336</f>
        <v>19.303</v>
      </c>
      <c r="E336" s="28">
        <f>F336</f>
        <v>19.303</v>
      </c>
      <c r="F336" s="28">
        <f>ROUND(19.303,4)</f>
        <v>19.303</v>
      </c>
      <c r="G336" s="25"/>
      <c r="H336" s="26"/>
    </row>
    <row r="337" spans="1:8" ht="12.75" customHeight="1">
      <c r="A337" s="23">
        <v>43448</v>
      </c>
      <c r="B337" s="23"/>
      <c r="C337" s="28">
        <f>ROUND(18.1209778125,4)</f>
        <v>18.121</v>
      </c>
      <c r="D337" s="28">
        <f>F337</f>
        <v>19.6125</v>
      </c>
      <c r="E337" s="28">
        <f>F337</f>
        <v>19.6125</v>
      </c>
      <c r="F337" s="28">
        <f>ROUND(19.6125,4)</f>
        <v>19.6125</v>
      </c>
      <c r="G337" s="25"/>
      <c r="H337" s="26"/>
    </row>
    <row r="338" spans="1:8" ht="12.75" customHeight="1">
      <c r="A338" s="23">
        <v>43542</v>
      </c>
      <c r="B338" s="23"/>
      <c r="C338" s="28">
        <f>ROUND(18.1209778125,4)</f>
        <v>18.121</v>
      </c>
      <c r="D338" s="28">
        <f>F338</f>
        <v>19.9475</v>
      </c>
      <c r="E338" s="28">
        <f>F338</f>
        <v>19.9475</v>
      </c>
      <c r="F338" s="28">
        <f>ROUND(19.9475,4)</f>
        <v>19.9475</v>
      </c>
      <c r="G338" s="25"/>
      <c r="H338" s="26"/>
    </row>
    <row r="339" spans="1:8" ht="12.75" customHeight="1">
      <c r="A339" s="23">
        <v>43630</v>
      </c>
      <c r="B339" s="23"/>
      <c r="C339" s="28">
        <f>ROUND(18.1209778125,4)</f>
        <v>18.121</v>
      </c>
      <c r="D339" s="28">
        <f>F339</f>
        <v>20.0008</v>
      </c>
      <c r="E339" s="28">
        <f>F339</f>
        <v>20.0008</v>
      </c>
      <c r="F339" s="28">
        <f>ROUND(20.0008,4)</f>
        <v>20.0008</v>
      </c>
      <c r="G339" s="25"/>
      <c r="H339" s="26"/>
    </row>
    <row r="340" spans="1:8" ht="12.75" customHeight="1">
      <c r="A340" s="23">
        <v>43724</v>
      </c>
      <c r="B340" s="23"/>
      <c r="C340" s="28">
        <f>ROUND(18.1209778125,4)</f>
        <v>18.121</v>
      </c>
      <c r="D340" s="28">
        <f>F340</f>
        <v>20.6028</v>
      </c>
      <c r="E340" s="28">
        <f>F340</f>
        <v>20.6028</v>
      </c>
      <c r="F340" s="28">
        <f>ROUND(20.6028,4)</f>
        <v>20.6028</v>
      </c>
      <c r="G340" s="25"/>
      <c r="H340" s="26"/>
    </row>
    <row r="341" spans="1:8" ht="12.75" customHeight="1">
      <c r="A341" s="23" t="s">
        <v>73</v>
      </c>
      <c r="B341" s="23"/>
      <c r="C341" s="27"/>
      <c r="D341" s="27"/>
      <c r="E341" s="27"/>
      <c r="F341" s="27"/>
      <c r="G341" s="25"/>
      <c r="H341" s="26"/>
    </row>
    <row r="342" spans="1:8" ht="12.75" customHeight="1">
      <c r="A342" s="23">
        <v>43087</v>
      </c>
      <c r="B342" s="23"/>
      <c r="C342" s="28">
        <f>ROUND(1.7510001600256,4)</f>
        <v>1.751</v>
      </c>
      <c r="D342" s="28">
        <f>F342</f>
        <v>1.7752</v>
      </c>
      <c r="E342" s="28">
        <f>F342</f>
        <v>1.7752</v>
      </c>
      <c r="F342" s="28">
        <f>ROUND(1.7752,4)</f>
        <v>1.7752</v>
      </c>
      <c r="G342" s="25"/>
      <c r="H342" s="26"/>
    </row>
    <row r="343" spans="1:8" ht="12.75" customHeight="1">
      <c r="A343" s="23">
        <v>43178</v>
      </c>
      <c r="B343" s="23"/>
      <c r="C343" s="28">
        <f>ROUND(1.7510001600256,4)</f>
        <v>1.751</v>
      </c>
      <c r="D343" s="28">
        <f>F343</f>
        <v>1.8039</v>
      </c>
      <c r="E343" s="28">
        <f>F343</f>
        <v>1.8039</v>
      </c>
      <c r="F343" s="28">
        <f>ROUND(1.8039,4)</f>
        <v>1.8039</v>
      </c>
      <c r="G343" s="25"/>
      <c r="H343" s="26"/>
    </row>
    <row r="344" spans="1:8" ht="12.75" customHeight="1">
      <c r="A344" s="23">
        <v>43269</v>
      </c>
      <c r="B344" s="23"/>
      <c r="C344" s="28">
        <f>ROUND(1.7510001600256,4)</f>
        <v>1.751</v>
      </c>
      <c r="D344" s="28">
        <f>F344</f>
        <v>1.8313</v>
      </c>
      <c r="E344" s="28">
        <f>F344</f>
        <v>1.8313</v>
      </c>
      <c r="F344" s="28">
        <f>ROUND(1.8313,4)</f>
        <v>1.8313</v>
      </c>
      <c r="G344" s="25"/>
      <c r="H344" s="26"/>
    </row>
    <row r="345" spans="1:8" ht="12.75" customHeight="1">
      <c r="A345" s="23">
        <v>43360</v>
      </c>
      <c r="B345" s="23"/>
      <c r="C345" s="28">
        <f>ROUND(1.7510001600256,4)</f>
        <v>1.751</v>
      </c>
      <c r="D345" s="28">
        <f>F345</f>
        <v>1.8576</v>
      </c>
      <c r="E345" s="28">
        <f>F345</f>
        <v>1.8576</v>
      </c>
      <c r="F345" s="28">
        <f>ROUND(1.8576,4)</f>
        <v>1.8576</v>
      </c>
      <c r="G345" s="25"/>
      <c r="H345" s="26"/>
    </row>
    <row r="346" spans="1:8" ht="12.75" customHeight="1">
      <c r="A346" s="23">
        <v>43448</v>
      </c>
      <c r="B346" s="23"/>
      <c r="C346" s="28">
        <f>ROUND(1.7510001600256,4)</f>
        <v>1.751</v>
      </c>
      <c r="D346" s="28">
        <f>F346</f>
        <v>1.9623</v>
      </c>
      <c r="E346" s="28">
        <f>F346</f>
        <v>1.9623</v>
      </c>
      <c r="F346" s="28">
        <f>ROUND(1.9623,4)</f>
        <v>1.9623</v>
      </c>
      <c r="G346" s="25"/>
      <c r="H346" s="26"/>
    </row>
    <row r="347" spans="1:8" ht="12.75" customHeight="1">
      <c r="A347" s="23">
        <v>43542</v>
      </c>
      <c r="B347" s="23"/>
      <c r="C347" s="28">
        <f>ROUND(1.7510001600256,4)</f>
        <v>1.751</v>
      </c>
      <c r="D347" s="28">
        <f>F347</f>
        <v>1.992</v>
      </c>
      <c r="E347" s="28">
        <f>F347</f>
        <v>1.992</v>
      </c>
      <c r="F347" s="28">
        <f>ROUND(1.992,4)</f>
        <v>1.992</v>
      </c>
      <c r="G347" s="25"/>
      <c r="H347" s="26"/>
    </row>
    <row r="348" spans="1:8" ht="12.75" customHeight="1">
      <c r="A348" s="23">
        <v>43630</v>
      </c>
      <c r="B348" s="23"/>
      <c r="C348" s="28">
        <f>ROUND(1.7510001600256,4)</f>
        <v>1.751</v>
      </c>
      <c r="D348" s="28">
        <f>F348</f>
        <v>2.0246</v>
      </c>
      <c r="E348" s="28">
        <f>F348</f>
        <v>2.0246</v>
      </c>
      <c r="F348" s="28">
        <f>ROUND(2.0246,4)</f>
        <v>2.0246</v>
      </c>
      <c r="G348" s="25"/>
      <c r="H348" s="26"/>
    </row>
    <row r="349" spans="1:8" ht="12.75" customHeight="1">
      <c r="A349" s="23">
        <v>43724</v>
      </c>
      <c r="B349" s="23"/>
      <c r="C349" s="28">
        <f>ROUND(1.7510001600256,4)</f>
        <v>1.751</v>
      </c>
      <c r="D349" s="28">
        <f>F349</f>
        <v>2.0554</v>
      </c>
      <c r="E349" s="28">
        <f>F349</f>
        <v>2.0554</v>
      </c>
      <c r="F349" s="28">
        <f>ROUND(2.0554,4)</f>
        <v>2.0554</v>
      </c>
      <c r="G349" s="25"/>
      <c r="H349" s="26"/>
    </row>
    <row r="350" spans="1:8" ht="12.75" customHeight="1">
      <c r="A350" s="23" t="s">
        <v>74</v>
      </c>
      <c r="B350" s="23"/>
      <c r="C350" s="27"/>
      <c r="D350" s="27"/>
      <c r="E350" s="27"/>
      <c r="F350" s="27"/>
      <c r="G350" s="25"/>
      <c r="H350" s="26"/>
    </row>
    <row r="351" spans="1:8" ht="12.75" customHeight="1">
      <c r="A351" s="23">
        <v>43087</v>
      </c>
      <c r="B351" s="23"/>
      <c r="C351" s="30">
        <f>ROUND(0.121281312347595,6)</f>
        <v>0.121281</v>
      </c>
      <c r="D351" s="30">
        <f>F351</f>
        <v>0.123163</v>
      </c>
      <c r="E351" s="30">
        <f>F351</f>
        <v>0.123163</v>
      </c>
      <c r="F351" s="30">
        <f>ROUND(0.123163,6)</f>
        <v>0.123163</v>
      </c>
      <c r="G351" s="25"/>
      <c r="H351" s="26"/>
    </row>
    <row r="352" spans="1:8" ht="12.75" customHeight="1">
      <c r="A352" s="23">
        <v>43178</v>
      </c>
      <c r="B352" s="23"/>
      <c r="C352" s="30">
        <f>ROUND(0.121281312347595,6)</f>
        <v>0.121281</v>
      </c>
      <c r="D352" s="30">
        <f>F352</f>
        <v>0.125545</v>
      </c>
      <c r="E352" s="30">
        <f>F352</f>
        <v>0.125545</v>
      </c>
      <c r="F352" s="30">
        <f>ROUND(0.125545,6)</f>
        <v>0.125545</v>
      </c>
      <c r="G352" s="25"/>
      <c r="H352" s="26"/>
    </row>
    <row r="353" spans="1:8" ht="12.75" customHeight="1">
      <c r="A353" s="23">
        <v>43269</v>
      </c>
      <c r="B353" s="23"/>
      <c r="C353" s="30">
        <f>ROUND(0.121281312347595,6)</f>
        <v>0.121281</v>
      </c>
      <c r="D353" s="30">
        <f>F353</f>
        <v>0.127926</v>
      </c>
      <c r="E353" s="30">
        <f>F353</f>
        <v>0.127926</v>
      </c>
      <c r="F353" s="30">
        <f>ROUND(0.127926,6)</f>
        <v>0.127926</v>
      </c>
      <c r="G353" s="25"/>
      <c r="H353" s="26"/>
    </row>
    <row r="354" spans="1:8" ht="12.75" customHeight="1">
      <c r="A354" s="23">
        <v>43360</v>
      </c>
      <c r="B354" s="23"/>
      <c r="C354" s="30">
        <f>ROUND(0.121281312347595,6)</f>
        <v>0.121281</v>
      </c>
      <c r="D354" s="30">
        <f>F354</f>
        <v>0.13033</v>
      </c>
      <c r="E354" s="30">
        <f>F354</f>
        <v>0.13033</v>
      </c>
      <c r="F354" s="30">
        <f>ROUND(0.13033,6)</f>
        <v>0.13033</v>
      </c>
      <c r="G354" s="25"/>
      <c r="H354" s="26"/>
    </row>
    <row r="355" spans="1:8" ht="12.75" customHeight="1">
      <c r="A355" s="23">
        <v>43448</v>
      </c>
      <c r="B355" s="23"/>
      <c r="C355" s="30">
        <f>ROUND(0.121281312347595,6)</f>
        <v>0.121281</v>
      </c>
      <c r="D355" s="30">
        <f>F355</f>
        <v>0.13283</v>
      </c>
      <c r="E355" s="30">
        <f>F355</f>
        <v>0.13283</v>
      </c>
      <c r="F355" s="30">
        <f>ROUND(0.13283,6)</f>
        <v>0.13283</v>
      </c>
      <c r="G355" s="25"/>
      <c r="H355" s="26"/>
    </row>
    <row r="356" spans="1:8" ht="12.75" customHeight="1">
      <c r="A356" s="23">
        <v>43542</v>
      </c>
      <c r="B356" s="23"/>
      <c r="C356" s="30">
        <f>ROUND(0.121281312347595,6)</f>
        <v>0.121281</v>
      </c>
      <c r="D356" s="30">
        <f>F356</f>
        <v>0.139246</v>
      </c>
      <c r="E356" s="30">
        <f>F356</f>
        <v>0.139246</v>
      </c>
      <c r="F356" s="30">
        <f>ROUND(0.139246,6)</f>
        <v>0.139246</v>
      </c>
      <c r="G356" s="25"/>
      <c r="H356" s="26"/>
    </row>
    <row r="357" spans="1:8" ht="12.75" customHeight="1">
      <c r="A357" s="23">
        <v>43630</v>
      </c>
      <c r="B357" s="23"/>
      <c r="C357" s="30">
        <f>ROUND(0.121281312347595,6)</f>
        <v>0.121281</v>
      </c>
      <c r="D357" s="30">
        <f>F357</f>
        <v>0.141427</v>
      </c>
      <c r="E357" s="30">
        <f>F357</f>
        <v>0.141427</v>
      </c>
      <c r="F357" s="30">
        <f>ROUND(0.141427,6)</f>
        <v>0.141427</v>
      </c>
      <c r="G357" s="25"/>
      <c r="H357" s="26"/>
    </row>
    <row r="358" spans="1:8" ht="12.75" customHeight="1">
      <c r="A358" s="23">
        <v>43724</v>
      </c>
      <c r="B358" s="23"/>
      <c r="C358" s="30">
        <f>ROUND(0.121281312347595,6)</f>
        <v>0.121281</v>
      </c>
      <c r="D358" s="30">
        <f>F358</f>
        <v>0.143655</v>
      </c>
      <c r="E358" s="30">
        <f>F358</f>
        <v>0.143655</v>
      </c>
      <c r="F358" s="30">
        <f>ROUND(0.143655,6)</f>
        <v>0.143655</v>
      </c>
      <c r="G358" s="25"/>
      <c r="H358" s="26"/>
    </row>
    <row r="359" spans="1:8" ht="12.75" customHeight="1">
      <c r="A359" s="23" t="s">
        <v>75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43087</v>
      </c>
      <c r="B360" s="23"/>
      <c r="C360" s="28">
        <f>ROUND(0.132405614714424,4)</f>
        <v>0.1324</v>
      </c>
      <c r="D360" s="28">
        <f>F360</f>
        <v>0.1322</v>
      </c>
      <c r="E360" s="28">
        <f>F360</f>
        <v>0.1322</v>
      </c>
      <c r="F360" s="28">
        <f>ROUND(0.1322,4)</f>
        <v>0.1322</v>
      </c>
      <c r="G360" s="25"/>
      <c r="H360" s="26"/>
    </row>
    <row r="361" spans="1:8" ht="12.75" customHeight="1">
      <c r="A361" s="23">
        <v>43178</v>
      </c>
      <c r="B361" s="23"/>
      <c r="C361" s="28">
        <f>ROUND(0.132405614714424,4)</f>
        <v>0.1324</v>
      </c>
      <c r="D361" s="28">
        <f>F361</f>
        <v>0.1316</v>
      </c>
      <c r="E361" s="28">
        <f>F361</f>
        <v>0.1316</v>
      </c>
      <c r="F361" s="28">
        <f>ROUND(0.1316,4)</f>
        <v>0.1316</v>
      </c>
      <c r="G361" s="25"/>
      <c r="H361" s="26"/>
    </row>
    <row r="362" spans="1:8" ht="12.75" customHeight="1">
      <c r="A362" s="23">
        <v>43269</v>
      </c>
      <c r="B362" s="23"/>
      <c r="C362" s="28">
        <f>ROUND(0.132405614714424,4)</f>
        <v>0.1324</v>
      </c>
      <c r="D362" s="28">
        <f>F362</f>
        <v>0.1317</v>
      </c>
      <c r="E362" s="28">
        <f>F362</f>
        <v>0.1317</v>
      </c>
      <c r="F362" s="28">
        <f>ROUND(0.1317,4)</f>
        <v>0.1317</v>
      </c>
      <c r="G362" s="25"/>
      <c r="H362" s="26"/>
    </row>
    <row r="363" spans="1:8" ht="12.75" customHeight="1">
      <c r="A363" s="23">
        <v>43360</v>
      </c>
      <c r="B363" s="23"/>
      <c r="C363" s="28">
        <f>ROUND(0.132405614714424,4)</f>
        <v>0.1324</v>
      </c>
      <c r="D363" s="28">
        <f>F363</f>
        <v>0.1307</v>
      </c>
      <c r="E363" s="28">
        <f>F363</f>
        <v>0.1307</v>
      </c>
      <c r="F363" s="28">
        <f>ROUND(0.1307,4)</f>
        <v>0.1307</v>
      </c>
      <c r="G363" s="25"/>
      <c r="H363" s="26"/>
    </row>
    <row r="364" spans="1:8" ht="12.75" customHeight="1">
      <c r="A364" s="23">
        <v>43448</v>
      </c>
      <c r="B364" s="23"/>
      <c r="C364" s="28">
        <f>ROUND(0.132405614714424,4)</f>
        <v>0.1324</v>
      </c>
      <c r="D364" s="28">
        <f>F364</f>
        <v>0.1296</v>
      </c>
      <c r="E364" s="28">
        <f>F364</f>
        <v>0.1296</v>
      </c>
      <c r="F364" s="28">
        <f>ROUND(0.1296,4)</f>
        <v>0.1296</v>
      </c>
      <c r="G364" s="25"/>
      <c r="H364" s="26"/>
    </row>
    <row r="365" spans="1:8" ht="12.75" customHeight="1">
      <c r="A365" s="23">
        <v>43542</v>
      </c>
      <c r="B365" s="23"/>
      <c r="C365" s="28">
        <f>ROUND(0.132405614714424,4)</f>
        <v>0.1324</v>
      </c>
      <c r="D365" s="28">
        <f>F365</f>
        <v>0.1284</v>
      </c>
      <c r="E365" s="28">
        <f>F365</f>
        <v>0.1284</v>
      </c>
      <c r="F365" s="28">
        <f>ROUND(0.1284,4)</f>
        <v>0.1284</v>
      </c>
      <c r="G365" s="25"/>
      <c r="H365" s="26"/>
    </row>
    <row r="366" spans="1:8" ht="12.75" customHeight="1">
      <c r="A366" s="23">
        <v>43630</v>
      </c>
      <c r="B366" s="23"/>
      <c r="C366" s="28">
        <f>ROUND(0.132405614714424,4)</f>
        <v>0.1324</v>
      </c>
      <c r="D366" s="28">
        <f>F366</f>
        <v>0.124</v>
      </c>
      <c r="E366" s="28">
        <f>F366</f>
        <v>0.124</v>
      </c>
      <c r="F366" s="28">
        <f>ROUND(0.124,4)</f>
        <v>0.124</v>
      </c>
      <c r="G366" s="25"/>
      <c r="H366" s="26"/>
    </row>
    <row r="367" spans="1:8" ht="12.75" customHeight="1">
      <c r="A367" s="23">
        <v>43724</v>
      </c>
      <c r="B367" s="23"/>
      <c r="C367" s="28">
        <f>ROUND(0.132405614714424,4)</f>
        <v>0.1324</v>
      </c>
      <c r="D367" s="28">
        <f>F367</f>
        <v>0.1191</v>
      </c>
      <c r="E367" s="28">
        <f>F367</f>
        <v>0.1191</v>
      </c>
      <c r="F367" s="28">
        <f>ROUND(0.1191,4)</f>
        <v>0.1191</v>
      </c>
      <c r="G367" s="25"/>
      <c r="H367" s="26"/>
    </row>
    <row r="368" spans="1:8" ht="12.75" customHeight="1">
      <c r="A368" s="23" t="s">
        <v>76</v>
      </c>
      <c r="B368" s="23"/>
      <c r="C368" s="27"/>
      <c r="D368" s="27"/>
      <c r="E368" s="27"/>
      <c r="F368" s="27"/>
      <c r="G368" s="25"/>
      <c r="H368" s="26"/>
    </row>
    <row r="369" spans="1:8" ht="12.75" customHeight="1">
      <c r="A369" s="23">
        <v>43087</v>
      </c>
      <c r="B369" s="23"/>
      <c r="C369" s="28">
        <f>ROUND(1.71560634187948,4)</f>
        <v>1.7156</v>
      </c>
      <c r="D369" s="28">
        <f>F369</f>
        <v>1.7419</v>
      </c>
      <c r="E369" s="28">
        <f>F369</f>
        <v>1.7419</v>
      </c>
      <c r="F369" s="28">
        <f>ROUND(1.7419,4)</f>
        <v>1.7419</v>
      </c>
      <c r="G369" s="25"/>
      <c r="H369" s="26"/>
    </row>
    <row r="370" spans="1:8" ht="12.75" customHeight="1">
      <c r="A370" s="23">
        <v>43178</v>
      </c>
      <c r="B370" s="23"/>
      <c r="C370" s="28">
        <f>ROUND(1.71560634187948,4)</f>
        <v>1.7156</v>
      </c>
      <c r="D370" s="28">
        <f>F370</f>
        <v>1.771</v>
      </c>
      <c r="E370" s="28">
        <f>F370</f>
        <v>1.771</v>
      </c>
      <c r="F370" s="28">
        <f>ROUND(1.771,4)</f>
        <v>1.771</v>
      </c>
      <c r="G370" s="25"/>
      <c r="H370" s="26"/>
    </row>
    <row r="371" spans="1:8" ht="12.75" customHeight="1">
      <c r="A371" s="23">
        <v>43269</v>
      </c>
      <c r="B371" s="23"/>
      <c r="C371" s="28">
        <f>ROUND(1.71560634187948,4)</f>
        <v>1.7156</v>
      </c>
      <c r="D371" s="28">
        <f>F371</f>
        <v>1.7997</v>
      </c>
      <c r="E371" s="28">
        <f>F371</f>
        <v>1.7997</v>
      </c>
      <c r="F371" s="28">
        <f>ROUND(1.7997,4)</f>
        <v>1.7997</v>
      </c>
      <c r="G371" s="25"/>
      <c r="H371" s="26"/>
    </row>
    <row r="372" spans="1:8" ht="12.75" customHeight="1">
      <c r="A372" s="23">
        <v>43360</v>
      </c>
      <c r="B372" s="23"/>
      <c r="C372" s="28">
        <f>ROUND(1.71560634187948,4)</f>
        <v>1.7156</v>
      </c>
      <c r="D372" s="28">
        <f>F372</f>
        <v>1.8269</v>
      </c>
      <c r="E372" s="28">
        <f>F372</f>
        <v>1.8269</v>
      </c>
      <c r="F372" s="28">
        <f>ROUND(1.8269,4)</f>
        <v>1.8269</v>
      </c>
      <c r="G372" s="25"/>
      <c r="H372" s="26"/>
    </row>
    <row r="373" spans="1:8" ht="12.75" customHeight="1">
      <c r="A373" s="23">
        <v>43630</v>
      </c>
      <c r="B373" s="23"/>
      <c r="C373" s="28">
        <f>ROUND(1.71560634187948,4)</f>
        <v>1.7156</v>
      </c>
      <c r="D373" s="28">
        <f>F373</f>
        <v>1.9215</v>
      </c>
      <c r="E373" s="28">
        <f>F373</f>
        <v>1.9215</v>
      </c>
      <c r="F373" s="28">
        <v>1.9215</v>
      </c>
      <c r="G373" s="25"/>
      <c r="H373" s="26"/>
    </row>
    <row r="374" spans="1:8" ht="12.75" customHeight="1">
      <c r="A374" s="23">
        <v>43724</v>
      </c>
      <c r="B374" s="23"/>
      <c r="C374" s="28">
        <f>ROUND(1.71560634187948,4)</f>
        <v>1.7156</v>
      </c>
      <c r="D374" s="28">
        <f>F374</f>
        <v>1.9559</v>
      </c>
      <c r="E374" s="28">
        <f>F374</f>
        <v>1.9559</v>
      </c>
      <c r="F374" s="28">
        <f>ROUND(1.9559,4)</f>
        <v>1.9559</v>
      </c>
      <c r="G374" s="25"/>
      <c r="H374" s="26"/>
    </row>
    <row r="375" spans="1:8" ht="12.75" customHeight="1">
      <c r="A375" s="23" t="s">
        <v>77</v>
      </c>
      <c r="B375" s="23"/>
      <c r="C375" s="27"/>
      <c r="D375" s="27"/>
      <c r="E375" s="27"/>
      <c r="F375" s="27"/>
      <c r="G375" s="25"/>
      <c r="H375" s="26"/>
    </row>
    <row r="376" spans="1:8" ht="12.75" customHeight="1">
      <c r="A376" s="23">
        <v>43087</v>
      </c>
      <c r="B376" s="23"/>
      <c r="C376" s="28">
        <f>ROUND(9.78898675,4)</f>
        <v>9.789</v>
      </c>
      <c r="D376" s="28">
        <f>F376</f>
        <v>9.8921</v>
      </c>
      <c r="E376" s="28">
        <f>F376</f>
        <v>9.8921</v>
      </c>
      <c r="F376" s="28">
        <f>ROUND(9.8921,4)</f>
        <v>9.8921</v>
      </c>
      <c r="G376" s="25"/>
      <c r="H376" s="26"/>
    </row>
    <row r="377" spans="1:8" ht="12.75" customHeight="1">
      <c r="A377" s="23">
        <v>43178</v>
      </c>
      <c r="B377" s="23"/>
      <c r="C377" s="28">
        <f>ROUND(9.78898675,4)</f>
        <v>9.789</v>
      </c>
      <c r="D377" s="28">
        <f>F377</f>
        <v>10.0187</v>
      </c>
      <c r="E377" s="28">
        <f>F377</f>
        <v>10.0187</v>
      </c>
      <c r="F377" s="28">
        <f>ROUND(10.0187,4)</f>
        <v>10.0187</v>
      </c>
      <c r="G377" s="25"/>
      <c r="H377" s="26"/>
    </row>
    <row r="378" spans="1:8" ht="12.75" customHeight="1">
      <c r="A378" s="23">
        <v>43269</v>
      </c>
      <c r="B378" s="23"/>
      <c r="C378" s="28">
        <f>ROUND(9.78898675,4)</f>
        <v>9.789</v>
      </c>
      <c r="D378" s="28">
        <f>F378</f>
        <v>10.1432</v>
      </c>
      <c r="E378" s="28">
        <f>F378</f>
        <v>10.1432</v>
      </c>
      <c r="F378" s="28">
        <f>ROUND(10.1432,4)</f>
        <v>10.1432</v>
      </c>
      <c r="G378" s="25"/>
      <c r="H378" s="26"/>
    </row>
    <row r="379" spans="1:8" ht="12.75" customHeight="1">
      <c r="A379" s="23">
        <v>43360</v>
      </c>
      <c r="B379" s="23"/>
      <c r="C379" s="28">
        <f>ROUND(9.78898675,4)</f>
        <v>9.789</v>
      </c>
      <c r="D379" s="28">
        <f>F379</f>
        <v>10.2644</v>
      </c>
      <c r="E379" s="28">
        <f>F379</f>
        <v>10.2644</v>
      </c>
      <c r="F379" s="28">
        <f>ROUND(10.2644,4)</f>
        <v>10.2644</v>
      </c>
      <c r="G379" s="25"/>
      <c r="H379" s="26"/>
    </row>
    <row r="380" spans="1:8" ht="12.75" customHeight="1">
      <c r="A380" s="23">
        <v>43448</v>
      </c>
      <c r="B380" s="23"/>
      <c r="C380" s="28">
        <f>ROUND(9.78898675,4)</f>
        <v>9.789</v>
      </c>
      <c r="D380" s="28">
        <f>F380</f>
        <v>10.8241</v>
      </c>
      <c r="E380" s="28">
        <f>F380</f>
        <v>10.8241</v>
      </c>
      <c r="F380" s="28">
        <f>ROUND(10.8241,4)</f>
        <v>10.8241</v>
      </c>
      <c r="G380" s="25"/>
      <c r="H380" s="26"/>
    </row>
    <row r="381" spans="1:8" ht="12.75" customHeight="1">
      <c r="A381" s="23">
        <v>43542</v>
      </c>
      <c r="B381" s="23"/>
      <c r="C381" s="28">
        <f>ROUND(9.78898675,4)</f>
        <v>9.789</v>
      </c>
      <c r="D381" s="28">
        <f>F381</f>
        <v>10.9676</v>
      </c>
      <c r="E381" s="28">
        <f>F381</f>
        <v>10.9676</v>
      </c>
      <c r="F381" s="28">
        <f>ROUND(10.9676,4)</f>
        <v>10.9676</v>
      </c>
      <c r="G381" s="25"/>
      <c r="H381" s="26"/>
    </row>
    <row r="382" spans="1:8" ht="12.75" customHeight="1">
      <c r="A382" s="23">
        <v>43630</v>
      </c>
      <c r="B382" s="23"/>
      <c r="C382" s="28">
        <f>ROUND(9.78898675,4)</f>
        <v>9.789</v>
      </c>
      <c r="D382" s="28">
        <f>F382</f>
        <v>11.1279</v>
      </c>
      <c r="E382" s="28">
        <f>F382</f>
        <v>11.1279</v>
      </c>
      <c r="F382" s="28">
        <f>ROUND(11.1279,4)</f>
        <v>11.1279</v>
      </c>
      <c r="G382" s="25"/>
      <c r="H382" s="26"/>
    </row>
    <row r="383" spans="1:8" ht="12.75" customHeight="1">
      <c r="A383" s="23">
        <v>43724</v>
      </c>
      <c r="B383" s="23"/>
      <c r="C383" s="28">
        <f>ROUND(9.78898675,4)</f>
        <v>9.789</v>
      </c>
      <c r="D383" s="28">
        <f>F383</f>
        <v>11.276</v>
      </c>
      <c r="E383" s="28">
        <f>F383</f>
        <v>11.276</v>
      </c>
      <c r="F383" s="28">
        <f>ROUND(11.276,4)</f>
        <v>11.276</v>
      </c>
      <c r="G383" s="25"/>
      <c r="H383" s="26"/>
    </row>
    <row r="384" spans="1:8" ht="12.75" customHeight="1">
      <c r="A384" s="23" t="s">
        <v>78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43087</v>
      </c>
      <c r="B385" s="23"/>
      <c r="C385" s="28">
        <f>ROUND(10.0436921721251,4)</f>
        <v>10.0437</v>
      </c>
      <c r="D385" s="28">
        <f>F385</f>
        <v>10.1729</v>
      </c>
      <c r="E385" s="28">
        <f>F385</f>
        <v>10.1729</v>
      </c>
      <c r="F385" s="28">
        <f>ROUND(10.1729,4)</f>
        <v>10.1729</v>
      </c>
      <c r="G385" s="25"/>
      <c r="H385" s="26"/>
    </row>
    <row r="386" spans="1:8" ht="12.75" customHeight="1">
      <c r="A386" s="23">
        <v>43178</v>
      </c>
      <c r="B386" s="23"/>
      <c r="C386" s="28">
        <f>ROUND(10.0436921721251,4)</f>
        <v>10.0437</v>
      </c>
      <c r="D386" s="28">
        <f>F386</f>
        <v>10.3291</v>
      </c>
      <c r="E386" s="28">
        <f>F386</f>
        <v>10.3291</v>
      </c>
      <c r="F386" s="28">
        <f>ROUND(10.3291,4)</f>
        <v>10.3291</v>
      </c>
      <c r="G386" s="25"/>
      <c r="H386" s="26"/>
    </row>
    <row r="387" spans="1:8" ht="12.75" customHeight="1">
      <c r="A387" s="23">
        <v>43269</v>
      </c>
      <c r="B387" s="23"/>
      <c r="C387" s="28">
        <f>ROUND(10.0436921721251,4)</f>
        <v>10.0437</v>
      </c>
      <c r="D387" s="28">
        <f>F387</f>
        <v>10.483</v>
      </c>
      <c r="E387" s="28">
        <f>F387</f>
        <v>10.483</v>
      </c>
      <c r="F387" s="28">
        <f>ROUND(10.483,4)</f>
        <v>10.483</v>
      </c>
      <c r="G387" s="25"/>
      <c r="H387" s="26"/>
    </row>
    <row r="388" spans="1:8" ht="12.75" customHeight="1">
      <c r="A388" s="23">
        <v>43360</v>
      </c>
      <c r="B388" s="23"/>
      <c r="C388" s="28">
        <f>ROUND(10.0436921721251,4)</f>
        <v>10.0437</v>
      </c>
      <c r="D388" s="28">
        <f>F388</f>
        <v>10.6347</v>
      </c>
      <c r="E388" s="28">
        <f>F388</f>
        <v>10.6347</v>
      </c>
      <c r="F388" s="28">
        <f>ROUND(10.6347,4)</f>
        <v>10.6347</v>
      </c>
      <c r="G388" s="25"/>
      <c r="H388" s="26"/>
    </row>
    <row r="389" spans="1:8" ht="12.75" customHeight="1">
      <c r="A389" s="23">
        <v>43448</v>
      </c>
      <c r="B389" s="23"/>
      <c r="C389" s="28">
        <f>ROUND(10.0436921721251,4)</f>
        <v>10.0437</v>
      </c>
      <c r="D389" s="28">
        <f>F389</f>
        <v>11.2374</v>
      </c>
      <c r="E389" s="28">
        <f>F389</f>
        <v>11.2374</v>
      </c>
      <c r="F389" s="28">
        <f>ROUND(11.2374,4)</f>
        <v>11.2374</v>
      </c>
      <c r="G389" s="25"/>
      <c r="H389" s="26"/>
    </row>
    <row r="390" spans="1:8" ht="12.75" customHeight="1">
      <c r="A390" s="23">
        <v>43542</v>
      </c>
      <c r="B390" s="23"/>
      <c r="C390" s="28">
        <f>ROUND(10.0436921721251,4)</f>
        <v>10.0437</v>
      </c>
      <c r="D390" s="28">
        <f>F390</f>
        <v>11.4106</v>
      </c>
      <c r="E390" s="28">
        <f>F390</f>
        <v>11.4106</v>
      </c>
      <c r="F390" s="28">
        <f>ROUND(11.4106,4)</f>
        <v>11.4106</v>
      </c>
      <c r="G390" s="25"/>
      <c r="H390" s="26"/>
    </row>
    <row r="391" spans="1:8" ht="12.75" customHeight="1">
      <c r="A391" s="23">
        <v>43630</v>
      </c>
      <c r="B391" s="23"/>
      <c r="C391" s="28">
        <f>ROUND(10.0436921721251,4)</f>
        <v>10.0437</v>
      </c>
      <c r="D391" s="28">
        <f>F391</f>
        <v>11.6002</v>
      </c>
      <c r="E391" s="28">
        <f>F391</f>
        <v>11.6002</v>
      </c>
      <c r="F391" s="28">
        <f>ROUND(11.6002,4)</f>
        <v>11.6002</v>
      </c>
      <c r="G391" s="25"/>
      <c r="H391" s="26"/>
    </row>
    <row r="392" spans="1:8" ht="12.75" customHeight="1">
      <c r="A392" s="23">
        <v>43724</v>
      </c>
      <c r="B392" s="23"/>
      <c r="C392" s="28">
        <f>ROUND(10.0436921721251,4)</f>
        <v>10.0437</v>
      </c>
      <c r="D392" s="28">
        <f>F392</f>
        <v>11.7793</v>
      </c>
      <c r="E392" s="28">
        <f>F392</f>
        <v>11.7793</v>
      </c>
      <c r="F392" s="28">
        <f>ROUND(11.7793,4)</f>
        <v>11.7793</v>
      </c>
      <c r="G392" s="25"/>
      <c r="H392" s="26"/>
    </row>
    <row r="393" spans="1:8" ht="12.75" customHeight="1">
      <c r="A393" s="23" t="s">
        <v>79</v>
      </c>
      <c r="B393" s="23"/>
      <c r="C393" s="27"/>
      <c r="D393" s="27"/>
      <c r="E393" s="27"/>
      <c r="F393" s="27"/>
      <c r="G393" s="25"/>
      <c r="H393" s="26"/>
    </row>
    <row r="394" spans="1:8" ht="12.75" customHeight="1">
      <c r="A394" s="23">
        <v>43087</v>
      </c>
      <c r="B394" s="23"/>
      <c r="C394" s="28">
        <f>ROUND(3.82673045716524,4)</f>
        <v>3.8267</v>
      </c>
      <c r="D394" s="28">
        <f>F394</f>
        <v>3.7908</v>
      </c>
      <c r="E394" s="28">
        <f>F394</f>
        <v>3.7908</v>
      </c>
      <c r="F394" s="28">
        <f>ROUND(3.7908,4)</f>
        <v>3.7908</v>
      </c>
      <c r="G394" s="25"/>
      <c r="H394" s="26"/>
    </row>
    <row r="395" spans="1:8" ht="12.75" customHeight="1">
      <c r="A395" s="23">
        <v>43178</v>
      </c>
      <c r="B395" s="23"/>
      <c r="C395" s="28">
        <f>ROUND(3.82673045716524,4)</f>
        <v>3.8267</v>
      </c>
      <c r="D395" s="28">
        <f>F395</f>
        <v>3.7484</v>
      </c>
      <c r="E395" s="28">
        <f>F395</f>
        <v>3.7484</v>
      </c>
      <c r="F395" s="28">
        <f>ROUND(3.7484,4)</f>
        <v>3.7484</v>
      </c>
      <c r="G395" s="25"/>
      <c r="H395" s="26"/>
    </row>
    <row r="396" spans="1:8" ht="12.75" customHeight="1">
      <c r="A396" s="23">
        <v>43269</v>
      </c>
      <c r="B396" s="23"/>
      <c r="C396" s="28">
        <f>ROUND(3.82673045716524,4)</f>
        <v>3.8267</v>
      </c>
      <c r="D396" s="28">
        <f>F396</f>
        <v>3.7089</v>
      </c>
      <c r="E396" s="28">
        <f>F396</f>
        <v>3.7089</v>
      </c>
      <c r="F396" s="28">
        <f>ROUND(3.7089,4)</f>
        <v>3.7089</v>
      </c>
      <c r="G396" s="25"/>
      <c r="H396" s="26"/>
    </row>
    <row r="397" spans="1:8" ht="12.75" customHeight="1">
      <c r="A397" s="23">
        <v>43360</v>
      </c>
      <c r="B397" s="23"/>
      <c r="C397" s="28">
        <f>ROUND(3.82673045716524,4)</f>
        <v>3.8267</v>
      </c>
      <c r="D397" s="28">
        <f>F397</f>
        <v>3.672</v>
      </c>
      <c r="E397" s="28">
        <f>F397</f>
        <v>3.672</v>
      </c>
      <c r="F397" s="28">
        <f>ROUND(3.672,4)</f>
        <v>3.672</v>
      </c>
      <c r="G397" s="25"/>
      <c r="H397" s="26"/>
    </row>
    <row r="398" spans="1:8" ht="12.75" customHeight="1">
      <c r="A398" s="23">
        <v>43448</v>
      </c>
      <c r="B398" s="23"/>
      <c r="C398" s="28">
        <f>ROUND(3.82673045716524,4)</f>
        <v>3.8267</v>
      </c>
      <c r="D398" s="28">
        <f>F398</f>
        <v>3.7928</v>
      </c>
      <c r="E398" s="28">
        <f>F398</f>
        <v>3.7928</v>
      </c>
      <c r="F398" s="28">
        <f>ROUND(3.7928,4)</f>
        <v>3.7928</v>
      </c>
      <c r="G398" s="25"/>
      <c r="H398" s="26"/>
    </row>
    <row r="399" spans="1:8" ht="12.75" customHeight="1">
      <c r="A399" s="23">
        <v>43542</v>
      </c>
      <c r="B399" s="23"/>
      <c r="C399" s="28">
        <f>ROUND(3.82673045716524,4)</f>
        <v>3.8267</v>
      </c>
      <c r="D399" s="28">
        <f>F399</f>
        <v>3.7608</v>
      </c>
      <c r="E399" s="28">
        <f>F399</f>
        <v>3.7608</v>
      </c>
      <c r="F399" s="28">
        <f>ROUND(3.7608,4)</f>
        <v>3.7608</v>
      </c>
      <c r="G399" s="25"/>
      <c r="H399" s="26"/>
    </row>
    <row r="400" spans="1:8" ht="12.75" customHeight="1">
      <c r="A400" s="23">
        <v>43630</v>
      </c>
      <c r="B400" s="23"/>
      <c r="C400" s="28">
        <f>ROUND(3.82673045716524,4)</f>
        <v>3.8267</v>
      </c>
      <c r="D400" s="28">
        <f>F400</f>
        <v>3.7409</v>
      </c>
      <c r="E400" s="28">
        <f>F400</f>
        <v>3.7409</v>
      </c>
      <c r="F400" s="28">
        <f>ROUND(3.7409,4)</f>
        <v>3.7409</v>
      </c>
      <c r="G400" s="25"/>
      <c r="H400" s="26"/>
    </row>
    <row r="401" spans="1:8" ht="12.75" customHeight="1">
      <c r="A401" s="23">
        <v>43724</v>
      </c>
      <c r="B401" s="23"/>
      <c r="C401" s="28">
        <f>ROUND(3.82673045716524,4)</f>
        <v>3.8267</v>
      </c>
      <c r="D401" s="28">
        <f>F401</f>
        <v>3.7132</v>
      </c>
      <c r="E401" s="28">
        <f>F401</f>
        <v>3.7132</v>
      </c>
      <c r="F401" s="28">
        <f>ROUND(3.7132,4)</f>
        <v>3.7132</v>
      </c>
      <c r="G401" s="25"/>
      <c r="H401" s="26"/>
    </row>
    <row r="402" spans="1:8" ht="12.75" customHeight="1">
      <c r="A402" s="23" t="s">
        <v>80</v>
      </c>
      <c r="B402" s="23"/>
      <c r="C402" s="27"/>
      <c r="D402" s="27"/>
      <c r="E402" s="27"/>
      <c r="F402" s="27"/>
      <c r="G402" s="25"/>
      <c r="H402" s="26"/>
    </row>
    <row r="403" spans="1:8" ht="12.75" customHeight="1">
      <c r="A403" s="23">
        <v>43087</v>
      </c>
      <c r="B403" s="23"/>
      <c r="C403" s="28">
        <f>ROUND(13.6775,4)</f>
        <v>13.6775</v>
      </c>
      <c r="D403" s="28">
        <f>F403</f>
        <v>13.8412</v>
      </c>
      <c r="E403" s="28">
        <f>F403</f>
        <v>13.8412</v>
      </c>
      <c r="F403" s="28">
        <f>ROUND(13.8412,4)</f>
        <v>13.8412</v>
      </c>
      <c r="G403" s="25"/>
      <c r="H403" s="26"/>
    </row>
    <row r="404" spans="1:8" ht="12.75" customHeight="1">
      <c r="A404" s="23">
        <v>43178</v>
      </c>
      <c r="B404" s="23"/>
      <c r="C404" s="28">
        <f>ROUND(13.6775,4)</f>
        <v>13.6775</v>
      </c>
      <c r="D404" s="28">
        <f>F404</f>
        <v>14.0376</v>
      </c>
      <c r="E404" s="28">
        <f>F404</f>
        <v>14.0376</v>
      </c>
      <c r="F404" s="28">
        <f>ROUND(14.0376,4)</f>
        <v>14.0376</v>
      </c>
      <c r="G404" s="25"/>
      <c r="H404" s="26"/>
    </row>
    <row r="405" spans="1:8" ht="12.75" customHeight="1">
      <c r="A405" s="23">
        <v>43269</v>
      </c>
      <c r="B405" s="23"/>
      <c r="C405" s="28">
        <f>ROUND(13.6775,4)</f>
        <v>13.6775</v>
      </c>
      <c r="D405" s="28">
        <f>F405</f>
        <v>14.2299</v>
      </c>
      <c r="E405" s="28">
        <f>F405</f>
        <v>14.2299</v>
      </c>
      <c r="F405" s="28">
        <f>ROUND(14.2299,4)</f>
        <v>14.2299</v>
      </c>
      <c r="G405" s="25"/>
      <c r="H405" s="26"/>
    </row>
    <row r="406" spans="1:8" ht="12.75" customHeight="1">
      <c r="A406" s="23">
        <v>43360</v>
      </c>
      <c r="B406" s="23"/>
      <c r="C406" s="28">
        <f>ROUND(13.6775,4)</f>
        <v>13.6775</v>
      </c>
      <c r="D406" s="28">
        <f>F406</f>
        <v>14.4179</v>
      </c>
      <c r="E406" s="28">
        <f>F406</f>
        <v>14.4179</v>
      </c>
      <c r="F406" s="28">
        <f>ROUND(14.4179,4)</f>
        <v>14.4179</v>
      </c>
      <c r="G406" s="25"/>
      <c r="H406" s="26"/>
    </row>
    <row r="407" spans="1:8" ht="12.75" customHeight="1">
      <c r="A407" s="23">
        <v>43630</v>
      </c>
      <c r="B407" s="23"/>
      <c r="C407" s="28">
        <f>ROUND(13.6775,4)</f>
        <v>13.6775</v>
      </c>
      <c r="D407" s="28">
        <f>F407</f>
        <v>15.0122</v>
      </c>
      <c r="E407" s="28">
        <f>F407</f>
        <v>15.0122</v>
      </c>
      <c r="F407" s="28">
        <v>15.0122</v>
      </c>
      <c r="G407" s="25"/>
      <c r="H407" s="26"/>
    </row>
    <row r="408" spans="1:8" ht="12.75" customHeight="1">
      <c r="A408" s="23">
        <v>43724</v>
      </c>
      <c r="B408" s="23"/>
      <c r="C408" s="28">
        <f>ROUND(13.6775,4)</f>
        <v>13.6775</v>
      </c>
      <c r="D408" s="28">
        <f>F408</f>
        <v>15.2201</v>
      </c>
      <c r="E408" s="28">
        <f>F408</f>
        <v>15.2201</v>
      </c>
      <c r="F408" s="28">
        <v>15.2201</v>
      </c>
      <c r="G408" s="25"/>
      <c r="H408" s="26"/>
    </row>
    <row r="409" spans="1:8" ht="12.75" customHeight="1">
      <c r="A409" s="23" t="s">
        <v>81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43087</v>
      </c>
      <c r="B410" s="23"/>
      <c r="C410" s="28">
        <f>ROUND(13.6775,4)</f>
        <v>13.6775</v>
      </c>
      <c r="D410" s="28">
        <f>F410</f>
        <v>13.8412</v>
      </c>
      <c r="E410" s="28">
        <f>F410</f>
        <v>13.8412</v>
      </c>
      <c r="F410" s="28">
        <f>ROUND(13.8412,4)</f>
        <v>13.8412</v>
      </c>
      <c r="G410" s="25"/>
      <c r="H410" s="26"/>
    </row>
    <row r="411" spans="1:8" ht="12.75" customHeight="1">
      <c r="A411" s="23">
        <v>43175</v>
      </c>
      <c r="B411" s="23"/>
      <c r="C411" s="28">
        <f>ROUND(13.6775,4)</f>
        <v>13.6775</v>
      </c>
      <c r="D411" s="28">
        <f>F411</f>
        <v>17.5004</v>
      </c>
      <c r="E411" s="28">
        <f>F411</f>
        <v>17.5004</v>
      </c>
      <c r="F411" s="28">
        <f>ROUND(17.5004,4)</f>
        <v>17.5004</v>
      </c>
      <c r="G411" s="25"/>
      <c r="H411" s="26"/>
    </row>
    <row r="412" spans="1:8" ht="12.75" customHeight="1">
      <c r="A412" s="23">
        <v>43178</v>
      </c>
      <c r="B412" s="23"/>
      <c r="C412" s="28">
        <f>ROUND(13.6775,4)</f>
        <v>13.6775</v>
      </c>
      <c r="D412" s="28">
        <f>F412</f>
        <v>14.0376</v>
      </c>
      <c r="E412" s="28">
        <f>F412</f>
        <v>14.0376</v>
      </c>
      <c r="F412" s="28">
        <f>ROUND(14.0376,4)</f>
        <v>14.0376</v>
      </c>
      <c r="G412" s="25"/>
      <c r="H412" s="26"/>
    </row>
    <row r="413" spans="1:8" ht="12.75" customHeight="1">
      <c r="A413" s="23">
        <v>43269</v>
      </c>
      <c r="B413" s="23"/>
      <c r="C413" s="28">
        <f>ROUND(13.6775,4)</f>
        <v>13.6775</v>
      </c>
      <c r="D413" s="28">
        <f>F413</f>
        <v>14.2299</v>
      </c>
      <c r="E413" s="28">
        <f>F413</f>
        <v>14.2299</v>
      </c>
      <c r="F413" s="28">
        <f>ROUND(14.2299,4)</f>
        <v>14.2299</v>
      </c>
      <c r="G413" s="25"/>
      <c r="H413" s="26"/>
    </row>
    <row r="414" spans="1:8" ht="12.75" customHeight="1">
      <c r="A414" s="23">
        <v>43360</v>
      </c>
      <c r="B414" s="23"/>
      <c r="C414" s="28">
        <f>ROUND(13.6775,4)</f>
        <v>13.6775</v>
      </c>
      <c r="D414" s="28">
        <f>F414</f>
        <v>14.4179</v>
      </c>
      <c r="E414" s="28">
        <f>F414</f>
        <v>14.4179</v>
      </c>
      <c r="F414" s="28">
        <f>ROUND(14.4179,4)</f>
        <v>14.4179</v>
      </c>
      <c r="G414" s="25"/>
      <c r="H414" s="26"/>
    </row>
    <row r="415" spans="1:8" ht="12.75" customHeight="1">
      <c r="A415" s="23">
        <v>43448</v>
      </c>
      <c r="B415" s="23"/>
      <c r="C415" s="28">
        <f>ROUND(13.6775,4)</f>
        <v>13.6775</v>
      </c>
      <c r="D415" s="28">
        <f>F415</f>
        <v>14.6098</v>
      </c>
      <c r="E415" s="28">
        <f>F415</f>
        <v>14.6098</v>
      </c>
      <c r="F415" s="28">
        <f>ROUND(14.6098,4)</f>
        <v>14.6098</v>
      </c>
      <c r="G415" s="25"/>
      <c r="H415" s="26"/>
    </row>
    <row r="416" spans="1:8" ht="12.75" customHeight="1">
      <c r="A416" s="23">
        <v>43542</v>
      </c>
      <c r="B416" s="23"/>
      <c r="C416" s="28">
        <f>ROUND(13.6775,4)</f>
        <v>13.6775</v>
      </c>
      <c r="D416" s="28">
        <f>F416</f>
        <v>14.8176</v>
      </c>
      <c r="E416" s="28">
        <f>F416</f>
        <v>14.8176</v>
      </c>
      <c r="F416" s="28">
        <f>ROUND(14.8176,4)</f>
        <v>14.8176</v>
      </c>
      <c r="G416" s="25"/>
      <c r="H416" s="26"/>
    </row>
    <row r="417" spans="1:8" ht="12.75" customHeight="1">
      <c r="A417" s="23">
        <v>43630</v>
      </c>
      <c r="B417" s="23"/>
      <c r="C417" s="28">
        <f>ROUND(13.6775,4)</f>
        <v>13.6775</v>
      </c>
      <c r="D417" s="28">
        <f>F417</f>
        <v>15.0122</v>
      </c>
      <c r="E417" s="28">
        <f>F417</f>
        <v>15.0122</v>
      </c>
      <c r="F417" s="28">
        <f>ROUND(15.0122,4)</f>
        <v>15.0122</v>
      </c>
      <c r="G417" s="25"/>
      <c r="H417" s="26"/>
    </row>
    <row r="418" spans="1:8" ht="12.75" customHeight="1">
      <c r="A418" s="23">
        <v>43724</v>
      </c>
      <c r="B418" s="23"/>
      <c r="C418" s="28">
        <f>ROUND(13.6775,4)</f>
        <v>13.6775</v>
      </c>
      <c r="D418" s="28">
        <f>F418</f>
        <v>15.2201</v>
      </c>
      <c r="E418" s="28">
        <f>F418</f>
        <v>15.2201</v>
      </c>
      <c r="F418" s="28">
        <f>ROUND(15.2201,4)</f>
        <v>15.2201</v>
      </c>
      <c r="G418" s="25"/>
      <c r="H418" s="26"/>
    </row>
    <row r="419" spans="1:8" ht="12.75" customHeight="1">
      <c r="A419" s="23">
        <v>43812</v>
      </c>
      <c r="B419" s="23"/>
      <c r="C419" s="28">
        <f>ROUND(13.6775,4)</f>
        <v>13.6775</v>
      </c>
      <c r="D419" s="28">
        <f>F419</f>
        <v>15.4391</v>
      </c>
      <c r="E419" s="28">
        <f>F419</f>
        <v>15.4391</v>
      </c>
      <c r="F419" s="28">
        <f>ROUND(15.4391,4)</f>
        <v>15.4391</v>
      </c>
      <c r="G419" s="25"/>
      <c r="H419" s="26"/>
    </row>
    <row r="420" spans="1:8" ht="12.75" customHeight="1">
      <c r="A420" s="23">
        <v>43906</v>
      </c>
      <c r="B420" s="23"/>
      <c r="C420" s="28">
        <f>ROUND(13.6775,4)</f>
        <v>13.6775</v>
      </c>
      <c r="D420" s="28">
        <f>F420</f>
        <v>15.6812</v>
      </c>
      <c r="E420" s="28">
        <f>F420</f>
        <v>15.6812</v>
      </c>
      <c r="F420" s="28">
        <f>ROUND(15.6812,4)</f>
        <v>15.6812</v>
      </c>
      <c r="G420" s="25"/>
      <c r="H420" s="26"/>
    </row>
    <row r="421" spans="1:8" ht="12.75" customHeight="1">
      <c r="A421" s="23">
        <v>43994</v>
      </c>
      <c r="B421" s="23"/>
      <c r="C421" s="28">
        <f>ROUND(13.6775,4)</f>
        <v>13.6775</v>
      </c>
      <c r="D421" s="28">
        <f>F421</f>
        <v>15.9078</v>
      </c>
      <c r="E421" s="28">
        <f>F421</f>
        <v>15.9078</v>
      </c>
      <c r="F421" s="28">
        <f>ROUND(15.9078,4)</f>
        <v>15.9078</v>
      </c>
      <c r="G421" s="25"/>
      <c r="H421" s="26"/>
    </row>
    <row r="422" spans="1:8" ht="12.75" customHeight="1">
      <c r="A422" s="23">
        <v>44088</v>
      </c>
      <c r="B422" s="23"/>
      <c r="C422" s="28">
        <f>ROUND(13.6775,4)</f>
        <v>13.6775</v>
      </c>
      <c r="D422" s="28">
        <f>F422</f>
        <v>16.15</v>
      </c>
      <c r="E422" s="28">
        <f>F422</f>
        <v>16.15</v>
      </c>
      <c r="F422" s="28">
        <f>ROUND(16.15,4)</f>
        <v>16.15</v>
      </c>
      <c r="G422" s="25"/>
      <c r="H422" s="26"/>
    </row>
    <row r="423" spans="1:8" ht="12.75" customHeight="1">
      <c r="A423" s="23">
        <v>44179</v>
      </c>
      <c r="B423" s="23"/>
      <c r="C423" s="28">
        <f>ROUND(13.6775,4)</f>
        <v>13.6775</v>
      </c>
      <c r="D423" s="28">
        <f>F423</f>
        <v>16.3843</v>
      </c>
      <c r="E423" s="28">
        <f>F423</f>
        <v>16.3843</v>
      </c>
      <c r="F423" s="28">
        <f>ROUND(16.3843,4)</f>
        <v>16.3843</v>
      </c>
      <c r="G423" s="25"/>
      <c r="H423" s="26"/>
    </row>
    <row r="424" spans="1:8" ht="12.75" customHeight="1">
      <c r="A424" s="23" t="s">
        <v>82</v>
      </c>
      <c r="B424" s="23"/>
      <c r="C424" s="27"/>
      <c r="D424" s="27"/>
      <c r="E424" s="27"/>
      <c r="F424" s="27"/>
      <c r="G424" s="25"/>
      <c r="H424" s="26"/>
    </row>
    <row r="425" spans="1:8" ht="12.75" customHeight="1">
      <c r="A425" s="23">
        <v>43087</v>
      </c>
      <c r="B425" s="23"/>
      <c r="C425" s="28">
        <f>ROUND(1.40816431586533,4)</f>
        <v>1.4082</v>
      </c>
      <c r="D425" s="28">
        <f>F425</f>
        <v>1.3932</v>
      </c>
      <c r="E425" s="28">
        <f>F425</f>
        <v>1.3932</v>
      </c>
      <c r="F425" s="28">
        <f>ROUND(1.3932,4)</f>
        <v>1.3932</v>
      </c>
      <c r="G425" s="25"/>
      <c r="H425" s="26"/>
    </row>
    <row r="426" spans="1:8" ht="12.75" customHeight="1">
      <c r="A426" s="23">
        <v>43178</v>
      </c>
      <c r="B426" s="23"/>
      <c r="C426" s="28">
        <f>ROUND(1.40816431586533,4)</f>
        <v>1.4082</v>
      </c>
      <c r="D426" s="28">
        <f>F426</f>
        <v>1.3758</v>
      </c>
      <c r="E426" s="28">
        <f>F426</f>
        <v>1.3758</v>
      </c>
      <c r="F426" s="28">
        <f>ROUND(1.3758,4)</f>
        <v>1.3758</v>
      </c>
      <c r="G426" s="25"/>
      <c r="H426" s="26"/>
    </row>
    <row r="427" spans="1:8" ht="12.75" customHeight="1">
      <c r="A427" s="23">
        <v>43269</v>
      </c>
      <c r="B427" s="23"/>
      <c r="C427" s="28">
        <f>ROUND(1.40816431586533,4)</f>
        <v>1.4082</v>
      </c>
      <c r="D427" s="28">
        <f>F427</f>
        <v>1.3594</v>
      </c>
      <c r="E427" s="28">
        <f>F427</f>
        <v>1.3594</v>
      </c>
      <c r="F427" s="28">
        <f>ROUND(1.3594,4)</f>
        <v>1.3594</v>
      </c>
      <c r="G427" s="25"/>
      <c r="H427" s="26"/>
    </row>
    <row r="428" spans="1:8" ht="12.75" customHeight="1">
      <c r="A428" s="23">
        <v>43360</v>
      </c>
      <c r="B428" s="23"/>
      <c r="C428" s="28">
        <f>ROUND(1.40816431586533,4)</f>
        <v>1.4082</v>
      </c>
      <c r="D428" s="28">
        <f>F428</f>
        <v>1.3383</v>
      </c>
      <c r="E428" s="28">
        <f>F428</f>
        <v>1.3383</v>
      </c>
      <c r="F428" s="28">
        <f>ROUND(1.3383,4)</f>
        <v>1.3383</v>
      </c>
      <c r="G428" s="25"/>
      <c r="H428" s="26"/>
    </row>
    <row r="429" spans="1:8" ht="12.75" customHeight="1">
      <c r="A429" s="23">
        <v>43448</v>
      </c>
      <c r="B429" s="23"/>
      <c r="C429" s="28">
        <f>ROUND(1.40816431586533,4)</f>
        <v>1.4082</v>
      </c>
      <c r="D429" s="28">
        <f>F429</f>
        <v>1.3187</v>
      </c>
      <c r="E429" s="28">
        <f>F429</f>
        <v>1.3187</v>
      </c>
      <c r="F429" s="28">
        <f>ROUND(1.3187,4)</f>
        <v>1.3187</v>
      </c>
      <c r="G429" s="25"/>
      <c r="H429" s="26"/>
    </row>
    <row r="430" spans="1:8" ht="12.75" customHeight="1">
      <c r="A430" s="23">
        <v>43630</v>
      </c>
      <c r="B430" s="23"/>
      <c r="C430" s="28">
        <f>ROUND(1.40816431586533,4)</f>
        <v>1.4082</v>
      </c>
      <c r="D430" s="28">
        <f>F430</f>
        <v>1.2164</v>
      </c>
      <c r="E430" s="28">
        <f>F430</f>
        <v>1.2164</v>
      </c>
      <c r="F430" s="28">
        <f>ROUND(1.2164,4)</f>
        <v>1.2164</v>
      </c>
      <c r="G430" s="25"/>
      <c r="H430" s="26"/>
    </row>
    <row r="431" spans="1:8" ht="12.75" customHeight="1">
      <c r="A431" s="23">
        <v>43724</v>
      </c>
      <c r="B431" s="23"/>
      <c r="C431" s="28">
        <f>ROUND(1.40816431586533,4)</f>
        <v>1.4082</v>
      </c>
      <c r="D431" s="28">
        <f>F431</f>
        <v>1.2269</v>
      </c>
      <c r="E431" s="28">
        <f>F431</f>
        <v>1.2269</v>
      </c>
      <c r="F431" s="28">
        <f>ROUND(1.2269,4)</f>
        <v>1.2269</v>
      </c>
      <c r="G431" s="25"/>
      <c r="H431" s="26"/>
    </row>
    <row r="432" spans="1:8" ht="12.75" customHeight="1">
      <c r="A432" s="23" t="s">
        <v>83</v>
      </c>
      <c r="B432" s="23"/>
      <c r="C432" s="27"/>
      <c r="D432" s="27"/>
      <c r="E432" s="27"/>
      <c r="F432" s="27"/>
      <c r="G432" s="25"/>
      <c r="H432" s="26"/>
    </row>
    <row r="433" spans="1:8" ht="12.75" customHeight="1">
      <c r="A433" s="23">
        <v>43041</v>
      </c>
      <c r="B433" s="23"/>
      <c r="C433" s="29">
        <f>ROUND(620.19,3)</f>
        <v>620.19</v>
      </c>
      <c r="D433" s="29">
        <f>F433</f>
        <v>623.895</v>
      </c>
      <c r="E433" s="29">
        <f>F433</f>
        <v>623.895</v>
      </c>
      <c r="F433" s="29">
        <f>ROUND(623.895,3)</f>
        <v>623.895</v>
      </c>
      <c r="G433" s="25"/>
      <c r="H433" s="26"/>
    </row>
    <row r="434" spans="1:8" ht="12.75" customHeight="1">
      <c r="A434" s="23">
        <v>43132</v>
      </c>
      <c r="B434" s="23"/>
      <c r="C434" s="29">
        <f>ROUND(620.19,3)</f>
        <v>620.19</v>
      </c>
      <c r="D434" s="29">
        <f>F434</f>
        <v>635.361</v>
      </c>
      <c r="E434" s="29">
        <f>F434</f>
        <v>635.361</v>
      </c>
      <c r="F434" s="29">
        <f>ROUND(635.361,3)</f>
        <v>635.361</v>
      </c>
      <c r="G434" s="25"/>
      <c r="H434" s="26"/>
    </row>
    <row r="435" spans="1:8" ht="12.75" customHeight="1">
      <c r="A435" s="23">
        <v>43223</v>
      </c>
      <c r="B435" s="23"/>
      <c r="C435" s="29">
        <f>ROUND(620.19,3)</f>
        <v>620.19</v>
      </c>
      <c r="D435" s="29">
        <f>F435</f>
        <v>647.176</v>
      </c>
      <c r="E435" s="29">
        <f>F435</f>
        <v>647.176</v>
      </c>
      <c r="F435" s="29">
        <f>ROUND(647.176,3)</f>
        <v>647.176</v>
      </c>
      <c r="G435" s="25"/>
      <c r="H435" s="26"/>
    </row>
    <row r="436" spans="1:8" ht="12.75" customHeight="1">
      <c r="A436" s="23">
        <v>43314</v>
      </c>
      <c r="B436" s="23"/>
      <c r="C436" s="29">
        <f>ROUND(620.19,3)</f>
        <v>620.19</v>
      </c>
      <c r="D436" s="29">
        <f>F436</f>
        <v>659.287</v>
      </c>
      <c r="E436" s="29">
        <f>F436</f>
        <v>659.287</v>
      </c>
      <c r="F436" s="29">
        <f>ROUND(659.287,3)</f>
        <v>659.287</v>
      </c>
      <c r="G436" s="25"/>
      <c r="H436" s="26"/>
    </row>
    <row r="437" spans="1:8" ht="12.75" customHeight="1">
      <c r="A437" s="23" t="s">
        <v>84</v>
      </c>
      <c r="B437" s="23"/>
      <c r="C437" s="27"/>
      <c r="D437" s="27"/>
      <c r="E437" s="27"/>
      <c r="F437" s="27"/>
      <c r="G437" s="25"/>
      <c r="H437" s="26"/>
    </row>
    <row r="438" spans="1:8" ht="12.75" customHeight="1">
      <c r="A438" s="23">
        <v>43041</v>
      </c>
      <c r="B438" s="23"/>
      <c r="C438" s="29">
        <f>ROUND(552.822,3)</f>
        <v>552.822</v>
      </c>
      <c r="D438" s="29">
        <f>F438</f>
        <v>556.124</v>
      </c>
      <c r="E438" s="29">
        <f>F438</f>
        <v>556.124</v>
      </c>
      <c r="F438" s="29">
        <f>ROUND(556.124,3)</f>
        <v>556.124</v>
      </c>
      <c r="G438" s="25"/>
      <c r="H438" s="26"/>
    </row>
    <row r="439" spans="1:8" ht="12.75" customHeight="1">
      <c r="A439" s="23">
        <v>43132</v>
      </c>
      <c r="B439" s="23"/>
      <c r="C439" s="29">
        <f>ROUND(552.822,3)</f>
        <v>552.822</v>
      </c>
      <c r="D439" s="29">
        <f>F439</f>
        <v>566.345</v>
      </c>
      <c r="E439" s="29">
        <f>F439</f>
        <v>566.345</v>
      </c>
      <c r="F439" s="29">
        <f>ROUND(566.345,3)</f>
        <v>566.345</v>
      </c>
      <c r="G439" s="25"/>
      <c r="H439" s="26"/>
    </row>
    <row r="440" spans="1:8" ht="12.75" customHeight="1">
      <c r="A440" s="23">
        <v>43223</v>
      </c>
      <c r="B440" s="23"/>
      <c r="C440" s="29">
        <f>ROUND(552.822,3)</f>
        <v>552.822</v>
      </c>
      <c r="D440" s="29">
        <f>F440</f>
        <v>576.877</v>
      </c>
      <c r="E440" s="29">
        <f>F440</f>
        <v>576.877</v>
      </c>
      <c r="F440" s="29">
        <f>ROUND(576.877,3)</f>
        <v>576.877</v>
      </c>
      <c r="G440" s="25"/>
      <c r="H440" s="26"/>
    </row>
    <row r="441" spans="1:8" ht="12.75" customHeight="1">
      <c r="A441" s="23">
        <v>43314</v>
      </c>
      <c r="B441" s="23"/>
      <c r="C441" s="29">
        <f>ROUND(552.822,3)</f>
        <v>552.822</v>
      </c>
      <c r="D441" s="29">
        <f>F441</f>
        <v>587.672</v>
      </c>
      <c r="E441" s="29">
        <f>F441</f>
        <v>587.672</v>
      </c>
      <c r="F441" s="29">
        <f>ROUND(587.672,3)</f>
        <v>587.672</v>
      </c>
      <c r="G441" s="25"/>
      <c r="H441" s="26"/>
    </row>
    <row r="442" spans="1:8" ht="12.75" customHeight="1">
      <c r="A442" s="23" t="s">
        <v>85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43041</v>
      </c>
      <c r="B443" s="23"/>
      <c r="C443" s="29">
        <f>ROUND(636.115,3)</f>
        <v>636.115</v>
      </c>
      <c r="D443" s="29">
        <f>F443</f>
        <v>639.915</v>
      </c>
      <c r="E443" s="29">
        <f>F443</f>
        <v>639.915</v>
      </c>
      <c r="F443" s="29">
        <f>ROUND(639.915,3)</f>
        <v>639.915</v>
      </c>
      <c r="G443" s="25"/>
      <c r="H443" s="26"/>
    </row>
    <row r="444" spans="1:8" ht="12.75" customHeight="1">
      <c r="A444" s="23">
        <v>43132</v>
      </c>
      <c r="B444" s="23"/>
      <c r="C444" s="29">
        <f>ROUND(636.115,3)</f>
        <v>636.115</v>
      </c>
      <c r="D444" s="29">
        <f>F444</f>
        <v>651.676</v>
      </c>
      <c r="E444" s="29">
        <f>F444</f>
        <v>651.676</v>
      </c>
      <c r="F444" s="29">
        <f>ROUND(651.676,3)</f>
        <v>651.676</v>
      </c>
      <c r="G444" s="25"/>
      <c r="H444" s="26"/>
    </row>
    <row r="445" spans="1:8" ht="12.75" customHeight="1">
      <c r="A445" s="23">
        <v>43223</v>
      </c>
      <c r="B445" s="23"/>
      <c r="C445" s="29">
        <f>ROUND(636.115,3)</f>
        <v>636.115</v>
      </c>
      <c r="D445" s="29">
        <f>F445</f>
        <v>663.794</v>
      </c>
      <c r="E445" s="29">
        <f>F445</f>
        <v>663.794</v>
      </c>
      <c r="F445" s="29">
        <f>ROUND(663.794,3)</f>
        <v>663.794</v>
      </c>
      <c r="G445" s="25"/>
      <c r="H445" s="26"/>
    </row>
    <row r="446" spans="1:8" ht="12.75" customHeight="1">
      <c r="A446" s="23">
        <v>43314</v>
      </c>
      <c r="B446" s="23"/>
      <c r="C446" s="29">
        <f>ROUND(636.115,3)</f>
        <v>636.115</v>
      </c>
      <c r="D446" s="29">
        <f>F446</f>
        <v>676.216</v>
      </c>
      <c r="E446" s="29">
        <f>F446</f>
        <v>676.216</v>
      </c>
      <c r="F446" s="29">
        <f>ROUND(676.216,3)</f>
        <v>676.216</v>
      </c>
      <c r="G446" s="25"/>
      <c r="H446" s="26"/>
    </row>
    <row r="447" spans="1:8" ht="12.75" customHeight="1">
      <c r="A447" s="23" t="s">
        <v>86</v>
      </c>
      <c r="B447" s="23"/>
      <c r="C447" s="27"/>
      <c r="D447" s="27"/>
      <c r="E447" s="27"/>
      <c r="F447" s="27"/>
      <c r="G447" s="25"/>
      <c r="H447" s="26"/>
    </row>
    <row r="448" spans="1:8" ht="12.75" customHeight="1">
      <c r="A448" s="23">
        <v>43041</v>
      </c>
      <c r="B448" s="23"/>
      <c r="C448" s="29">
        <f>ROUND(571.621,3)</f>
        <v>571.621</v>
      </c>
      <c r="D448" s="29">
        <f>F448</f>
        <v>575.035</v>
      </c>
      <c r="E448" s="29">
        <f>F448</f>
        <v>575.035</v>
      </c>
      <c r="F448" s="29">
        <f>ROUND(575.035,3)</f>
        <v>575.035</v>
      </c>
      <c r="G448" s="25"/>
      <c r="H448" s="26"/>
    </row>
    <row r="449" spans="1:8" ht="12.75" customHeight="1">
      <c r="A449" s="23">
        <v>43132</v>
      </c>
      <c r="B449" s="23"/>
      <c r="C449" s="29">
        <f>ROUND(571.621,3)</f>
        <v>571.621</v>
      </c>
      <c r="D449" s="29">
        <f>F449</f>
        <v>585.604</v>
      </c>
      <c r="E449" s="29">
        <f>F449</f>
        <v>585.604</v>
      </c>
      <c r="F449" s="29">
        <f>ROUND(585.604,3)</f>
        <v>585.604</v>
      </c>
      <c r="G449" s="25"/>
      <c r="H449" s="26"/>
    </row>
    <row r="450" spans="1:8" ht="12.75" customHeight="1">
      <c r="A450" s="23">
        <v>43223</v>
      </c>
      <c r="B450" s="23"/>
      <c r="C450" s="29">
        <f>ROUND(571.621,3)</f>
        <v>571.621</v>
      </c>
      <c r="D450" s="29">
        <f>F450</f>
        <v>596.494</v>
      </c>
      <c r="E450" s="29">
        <f>F450</f>
        <v>596.494</v>
      </c>
      <c r="F450" s="29">
        <f>ROUND(596.494,3)</f>
        <v>596.494</v>
      </c>
      <c r="G450" s="25"/>
      <c r="H450" s="26"/>
    </row>
    <row r="451" spans="1:8" ht="12.75" customHeight="1">
      <c r="A451" s="23">
        <v>43314</v>
      </c>
      <c r="B451" s="23"/>
      <c r="C451" s="29">
        <f>ROUND(571.621,3)</f>
        <v>571.621</v>
      </c>
      <c r="D451" s="29">
        <f>F451</f>
        <v>607.656</v>
      </c>
      <c r="E451" s="29">
        <f>F451</f>
        <v>607.656</v>
      </c>
      <c r="F451" s="29">
        <f>ROUND(607.656,3)</f>
        <v>607.656</v>
      </c>
      <c r="G451" s="25"/>
      <c r="H451" s="26"/>
    </row>
    <row r="452" spans="1:8" ht="12.75" customHeight="1">
      <c r="A452" s="23" t="s">
        <v>87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43041</v>
      </c>
      <c r="B453" s="23"/>
      <c r="C453" s="29">
        <f>ROUND(249.504891696071,3)</f>
        <v>249.505</v>
      </c>
      <c r="D453" s="29">
        <f>F453</f>
        <v>251.006</v>
      </c>
      <c r="E453" s="29">
        <f>F453</f>
        <v>251.006</v>
      </c>
      <c r="F453" s="29">
        <f>ROUND(251.006,3)</f>
        <v>251.006</v>
      </c>
      <c r="G453" s="25"/>
      <c r="H453" s="26"/>
    </row>
    <row r="454" spans="1:8" ht="12.75" customHeight="1">
      <c r="A454" s="23">
        <v>43132</v>
      </c>
      <c r="B454" s="23"/>
      <c r="C454" s="29">
        <f>ROUND(249.504891696071,3)</f>
        <v>249.505</v>
      </c>
      <c r="D454" s="29">
        <f>F454</f>
        <v>255.705</v>
      </c>
      <c r="E454" s="29">
        <f>F454</f>
        <v>255.705</v>
      </c>
      <c r="F454" s="29">
        <f>ROUND(255.705,3)</f>
        <v>255.705</v>
      </c>
      <c r="G454" s="25"/>
      <c r="H454" s="26"/>
    </row>
    <row r="455" spans="1:8" ht="12.75" customHeight="1">
      <c r="A455" s="23">
        <v>43223</v>
      </c>
      <c r="B455" s="23"/>
      <c r="C455" s="29">
        <f>ROUND(249.504891696071,3)</f>
        <v>249.505</v>
      </c>
      <c r="D455" s="29">
        <f>F455</f>
        <v>260.555</v>
      </c>
      <c r="E455" s="29">
        <f>F455</f>
        <v>260.555</v>
      </c>
      <c r="F455" s="29">
        <f>ROUND(260.555,3)</f>
        <v>260.555</v>
      </c>
      <c r="G455" s="25"/>
      <c r="H455" s="26"/>
    </row>
    <row r="456" spans="1:8" ht="12.75" customHeight="1">
      <c r="A456" s="23">
        <v>43314</v>
      </c>
      <c r="B456" s="23"/>
      <c r="C456" s="29">
        <f>ROUND(249.504891696071,3)</f>
        <v>249.505</v>
      </c>
      <c r="D456" s="29">
        <f>F456</f>
        <v>265.513</v>
      </c>
      <c r="E456" s="29">
        <f>F456</f>
        <v>265.513</v>
      </c>
      <c r="F456" s="29">
        <f>ROUND(265.513,3)</f>
        <v>265.513</v>
      </c>
      <c r="G456" s="25"/>
      <c r="H456" s="26"/>
    </row>
    <row r="457" spans="1:8" ht="12.75" customHeight="1">
      <c r="A457" s="23" t="s">
        <v>88</v>
      </c>
      <c r="B457" s="23"/>
      <c r="C457" s="27"/>
      <c r="D457" s="27"/>
      <c r="E457" s="27"/>
      <c r="F457" s="27"/>
      <c r="G457" s="25"/>
      <c r="H457" s="26"/>
    </row>
    <row r="458" spans="1:8" ht="12.75" customHeight="1">
      <c r="A458" s="23">
        <v>43041</v>
      </c>
      <c r="B458" s="23"/>
      <c r="C458" s="29">
        <f>ROUND(675.731,3)</f>
        <v>675.731</v>
      </c>
      <c r="D458" s="29">
        <f>F458</f>
        <v>709.665</v>
      </c>
      <c r="E458" s="29">
        <f>F458</f>
        <v>709.665</v>
      </c>
      <c r="F458" s="29">
        <f>ROUND(709.665,3)</f>
        <v>709.665</v>
      </c>
      <c r="G458" s="25"/>
      <c r="H458" s="26"/>
    </row>
    <row r="459" spans="1:8" ht="12.75" customHeight="1">
      <c r="A459" s="23">
        <v>43132</v>
      </c>
      <c r="B459" s="23"/>
      <c r="C459" s="29">
        <f>ROUND(675.731,3)</f>
        <v>675.731</v>
      </c>
      <c r="D459" s="29">
        <f>F459</f>
        <v>724.173</v>
      </c>
      <c r="E459" s="29">
        <f>F459</f>
        <v>724.173</v>
      </c>
      <c r="F459" s="29">
        <f>ROUND(724.173,3)</f>
        <v>724.173</v>
      </c>
      <c r="G459" s="25"/>
      <c r="H459" s="26"/>
    </row>
    <row r="460" spans="1:8" ht="12.75" customHeight="1">
      <c r="A460" s="23" t="s">
        <v>89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43087</v>
      </c>
      <c r="B461" s="23"/>
      <c r="C461" s="25">
        <f>ROUND(24150.2716468669,2)</f>
        <v>24150.27</v>
      </c>
      <c r="D461" s="25">
        <f>F461</f>
        <v>24468.31</v>
      </c>
      <c r="E461" s="25">
        <f>F461</f>
        <v>24468.31</v>
      </c>
      <c r="F461" s="25">
        <f>ROUND(24468.31,2)</f>
        <v>24468.31</v>
      </c>
      <c r="G461" s="25"/>
      <c r="H461" s="26"/>
    </row>
    <row r="462" spans="1:8" ht="12.75" customHeight="1">
      <c r="A462" s="23">
        <v>43178</v>
      </c>
      <c r="B462" s="23"/>
      <c r="C462" s="25">
        <f>ROUND(24150.2716468669,2)</f>
        <v>24150.27</v>
      </c>
      <c r="D462" s="25">
        <f>F462</f>
        <v>24861.11</v>
      </c>
      <c r="E462" s="25">
        <f>F462</f>
        <v>24861.11</v>
      </c>
      <c r="F462" s="25">
        <f>ROUND(24861.11,2)</f>
        <v>24861.11</v>
      </c>
      <c r="G462" s="25"/>
      <c r="H462" s="26"/>
    </row>
    <row r="463" spans="1:8" ht="12.75" customHeight="1">
      <c r="A463" s="23">
        <v>43269</v>
      </c>
      <c r="B463" s="23"/>
      <c r="C463" s="25">
        <f>ROUND(24150.2716468669,2)</f>
        <v>24150.27</v>
      </c>
      <c r="D463" s="25">
        <f>F463</f>
        <v>25250.75</v>
      </c>
      <c r="E463" s="25">
        <f>F463</f>
        <v>25250.75</v>
      </c>
      <c r="F463" s="25">
        <f>ROUND(25250.75,2)</f>
        <v>25250.75</v>
      </c>
      <c r="G463" s="25"/>
      <c r="H463" s="26"/>
    </row>
    <row r="464" spans="1:8" ht="12.75" customHeight="1">
      <c r="A464" s="23" t="s">
        <v>90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43026</v>
      </c>
      <c r="B465" s="23"/>
      <c r="C465" s="29">
        <f>ROUND(6.99167,3)</f>
        <v>6.992</v>
      </c>
      <c r="D465" s="29">
        <f>ROUND(7.07,3)</f>
        <v>7.07</v>
      </c>
      <c r="E465" s="29">
        <f>ROUND(6.97,3)</f>
        <v>6.97</v>
      </c>
      <c r="F465" s="29">
        <f>ROUND(7.02,3)</f>
        <v>7.02</v>
      </c>
      <c r="G465" s="25"/>
      <c r="H465" s="26"/>
    </row>
    <row r="466" spans="1:8" ht="12.75" customHeight="1">
      <c r="A466" s="23">
        <v>43054</v>
      </c>
      <c r="B466" s="23"/>
      <c r="C466" s="29">
        <f>ROUND(6.99167,3)</f>
        <v>6.992</v>
      </c>
      <c r="D466" s="29">
        <f>ROUND(7.05,3)</f>
        <v>7.05</v>
      </c>
      <c r="E466" s="29">
        <f>ROUND(6.95,3)</f>
        <v>6.95</v>
      </c>
      <c r="F466" s="29">
        <f>ROUND(7,3)</f>
        <v>7</v>
      </c>
      <c r="G466" s="25"/>
      <c r="H466" s="26"/>
    </row>
    <row r="467" spans="1:8" ht="12.75" customHeight="1">
      <c r="A467" s="23">
        <v>43089</v>
      </c>
      <c r="B467" s="23"/>
      <c r="C467" s="29">
        <f>ROUND(6.99167,3)</f>
        <v>6.992</v>
      </c>
      <c r="D467" s="29">
        <f>ROUND(6.95,3)</f>
        <v>6.95</v>
      </c>
      <c r="E467" s="29">
        <f>ROUND(6.85,3)</f>
        <v>6.85</v>
      </c>
      <c r="F467" s="29">
        <f>ROUND(6.9,3)</f>
        <v>6.9</v>
      </c>
      <c r="G467" s="25"/>
      <c r="H467" s="26"/>
    </row>
    <row r="468" spans="1:8" ht="12.75" customHeight="1">
      <c r="A468" s="23">
        <v>43117</v>
      </c>
      <c r="B468" s="23"/>
      <c r="C468" s="29">
        <f>ROUND(6.99167,3)</f>
        <v>6.992</v>
      </c>
      <c r="D468" s="29">
        <f>ROUND(6.91,3)</f>
        <v>6.91</v>
      </c>
      <c r="E468" s="29">
        <f>ROUND(6.81,3)</f>
        <v>6.81</v>
      </c>
      <c r="F468" s="29">
        <f>ROUND(6.86,3)</f>
        <v>6.86</v>
      </c>
      <c r="G468" s="25"/>
      <c r="H468" s="26"/>
    </row>
    <row r="469" spans="1:8" ht="12.75" customHeight="1">
      <c r="A469" s="23">
        <v>43152</v>
      </c>
      <c r="B469" s="23"/>
      <c r="C469" s="29">
        <f>ROUND(6.99167,3)</f>
        <v>6.992</v>
      </c>
      <c r="D469" s="29">
        <f>ROUND(6.84,3)</f>
        <v>6.84</v>
      </c>
      <c r="E469" s="29">
        <f>ROUND(6.74,3)</f>
        <v>6.74</v>
      </c>
      <c r="F469" s="29">
        <f>ROUND(6.79,3)</f>
        <v>6.79</v>
      </c>
      <c r="G469" s="25"/>
      <c r="H469" s="26"/>
    </row>
    <row r="470" spans="1:8" ht="12.75" customHeight="1">
      <c r="A470" s="23">
        <v>43179</v>
      </c>
      <c r="B470" s="23"/>
      <c r="C470" s="29">
        <f>ROUND(6.99167,3)</f>
        <v>6.992</v>
      </c>
      <c r="D470" s="29">
        <f>ROUND(6.8,3)</f>
        <v>6.8</v>
      </c>
      <c r="E470" s="29">
        <f>ROUND(6.7,3)</f>
        <v>6.7</v>
      </c>
      <c r="F470" s="29">
        <f>ROUND(6.75,3)</f>
        <v>6.75</v>
      </c>
      <c r="G470" s="25"/>
      <c r="H470" s="26"/>
    </row>
    <row r="471" spans="1:8" ht="12.75" customHeight="1">
      <c r="A471" s="23">
        <v>43208</v>
      </c>
      <c r="B471" s="23"/>
      <c r="C471" s="29">
        <f>ROUND(6.99167,3)</f>
        <v>6.992</v>
      </c>
      <c r="D471" s="29">
        <f>ROUND(6.75,3)</f>
        <v>6.75</v>
      </c>
      <c r="E471" s="29">
        <f>ROUND(6.65,3)</f>
        <v>6.65</v>
      </c>
      <c r="F471" s="29">
        <f>ROUND(6.7,3)</f>
        <v>6.7</v>
      </c>
      <c r="G471" s="25"/>
      <c r="H471" s="26"/>
    </row>
    <row r="472" spans="1:8" ht="12.75" customHeight="1">
      <c r="A472" s="23">
        <v>43269</v>
      </c>
      <c r="B472" s="23"/>
      <c r="C472" s="29">
        <f>ROUND(6.99167,3)</f>
        <v>6.992</v>
      </c>
      <c r="D472" s="29">
        <f>ROUND(7.51,3)</f>
        <v>7.51</v>
      </c>
      <c r="E472" s="29">
        <f>ROUND(7.41,3)</f>
        <v>7.41</v>
      </c>
      <c r="F472" s="29">
        <f>ROUND(7.46,3)</f>
        <v>7.46</v>
      </c>
      <c r="G472" s="25"/>
      <c r="H472" s="26"/>
    </row>
    <row r="473" spans="1:8" ht="12.75" customHeight="1">
      <c r="A473" s="23">
        <v>43271</v>
      </c>
      <c r="B473" s="23"/>
      <c r="C473" s="29">
        <f>ROUND(6.99167,3)</f>
        <v>6.992</v>
      </c>
      <c r="D473" s="29">
        <f>ROUND(6.72,3)</f>
        <v>6.72</v>
      </c>
      <c r="E473" s="29">
        <f>ROUND(6.62,3)</f>
        <v>6.62</v>
      </c>
      <c r="F473" s="29">
        <f>ROUND(6.67,3)</f>
        <v>6.67</v>
      </c>
      <c r="G473" s="25"/>
      <c r="H473" s="26"/>
    </row>
    <row r="474" spans="1:8" ht="12.75" customHeight="1">
      <c r="A474" s="23">
        <v>43362</v>
      </c>
      <c r="B474" s="23"/>
      <c r="C474" s="29">
        <f>ROUND(6.99167,3)</f>
        <v>6.992</v>
      </c>
      <c r="D474" s="29">
        <f>ROUND(6.72,3)</f>
        <v>6.72</v>
      </c>
      <c r="E474" s="29">
        <f>ROUND(6.62,3)</f>
        <v>6.62</v>
      </c>
      <c r="F474" s="29">
        <f>ROUND(6.67,3)</f>
        <v>6.67</v>
      </c>
      <c r="G474" s="25"/>
      <c r="H474" s="26"/>
    </row>
    <row r="475" spans="1:8" ht="12.75" customHeight="1">
      <c r="A475" s="23">
        <v>43453</v>
      </c>
      <c r="B475" s="23"/>
      <c r="C475" s="29">
        <f>ROUND(6.99167,3)</f>
        <v>6.992</v>
      </c>
      <c r="D475" s="29">
        <f>ROUND(6.74,3)</f>
        <v>6.74</v>
      </c>
      <c r="E475" s="29">
        <f>ROUND(6.64,3)</f>
        <v>6.64</v>
      </c>
      <c r="F475" s="29">
        <f>ROUND(6.69,3)</f>
        <v>6.69</v>
      </c>
      <c r="G475" s="25"/>
      <c r="H475" s="26"/>
    </row>
    <row r="476" spans="1:8" ht="12.75" customHeight="1">
      <c r="A476" s="23">
        <v>43544</v>
      </c>
      <c r="B476" s="23"/>
      <c r="C476" s="29">
        <f>ROUND(6.99167,3)</f>
        <v>6.992</v>
      </c>
      <c r="D476" s="29">
        <f>ROUND(6.78,3)</f>
        <v>6.78</v>
      </c>
      <c r="E476" s="29">
        <f>ROUND(6.68,3)</f>
        <v>6.68</v>
      </c>
      <c r="F476" s="29">
        <f>ROUND(6.73,3)</f>
        <v>6.73</v>
      </c>
      <c r="G476" s="25"/>
      <c r="H476" s="26"/>
    </row>
    <row r="477" spans="1:8" ht="12.75" customHeight="1">
      <c r="A477" s="23">
        <v>43635</v>
      </c>
      <c r="B477" s="23"/>
      <c r="C477" s="29">
        <f>ROUND(6.99167,3)</f>
        <v>6.992</v>
      </c>
      <c r="D477" s="29">
        <f>ROUND(6.85,3)</f>
        <v>6.85</v>
      </c>
      <c r="E477" s="29">
        <f>ROUND(6.75,3)</f>
        <v>6.75</v>
      </c>
      <c r="F477" s="29">
        <f>ROUND(6.8,3)</f>
        <v>6.8</v>
      </c>
      <c r="G477" s="25"/>
      <c r="H477" s="26"/>
    </row>
    <row r="478" spans="1:8" ht="12.75" customHeight="1">
      <c r="A478" s="23" t="s">
        <v>91</v>
      </c>
      <c r="B478" s="23"/>
      <c r="C478" s="27"/>
      <c r="D478" s="27"/>
      <c r="E478" s="27"/>
      <c r="F478" s="27"/>
      <c r="G478" s="25"/>
      <c r="H478" s="26"/>
    </row>
    <row r="479" spans="1:8" ht="12.75" customHeight="1">
      <c r="A479" s="23">
        <v>43041</v>
      </c>
      <c r="B479" s="23"/>
      <c r="C479" s="29">
        <f>ROUND(570.25,3)</f>
        <v>570.25</v>
      </c>
      <c r="D479" s="29">
        <f>F479</f>
        <v>573.656</v>
      </c>
      <c r="E479" s="29">
        <f>F479</f>
        <v>573.656</v>
      </c>
      <c r="F479" s="29">
        <f>ROUND(573.656,3)</f>
        <v>573.656</v>
      </c>
      <c r="G479" s="25"/>
      <c r="H479" s="26"/>
    </row>
    <row r="480" spans="1:8" ht="12.75" customHeight="1">
      <c r="A480" s="23">
        <v>43132</v>
      </c>
      <c r="B480" s="23"/>
      <c r="C480" s="29">
        <f>ROUND(570.25,3)</f>
        <v>570.25</v>
      </c>
      <c r="D480" s="29">
        <f>F480</f>
        <v>584.199</v>
      </c>
      <c r="E480" s="29">
        <f>F480</f>
        <v>584.199</v>
      </c>
      <c r="F480" s="29">
        <f>ROUND(584.199,3)</f>
        <v>584.199</v>
      </c>
      <c r="G480" s="25"/>
      <c r="H480" s="26"/>
    </row>
    <row r="481" spans="1:8" ht="12.75" customHeight="1">
      <c r="A481" s="23">
        <v>43223</v>
      </c>
      <c r="B481" s="23"/>
      <c r="C481" s="29">
        <f>ROUND(570.25,3)</f>
        <v>570.25</v>
      </c>
      <c r="D481" s="29">
        <f>F481</f>
        <v>595.063</v>
      </c>
      <c r="E481" s="29">
        <f>F481</f>
        <v>595.063</v>
      </c>
      <c r="F481" s="29">
        <f>ROUND(595.063,3)</f>
        <v>595.063</v>
      </c>
      <c r="G481" s="25"/>
      <c r="H481" s="26"/>
    </row>
    <row r="482" spans="1:8" ht="12.75" customHeight="1">
      <c r="A482" s="23">
        <v>43314</v>
      </c>
      <c r="B482" s="23"/>
      <c r="C482" s="29">
        <f>ROUND(570.25,3)</f>
        <v>570.25</v>
      </c>
      <c r="D482" s="29">
        <f>F482</f>
        <v>606.199</v>
      </c>
      <c r="E482" s="29">
        <f>F482</f>
        <v>606.199</v>
      </c>
      <c r="F482" s="29">
        <f>ROUND(606.199,3)</f>
        <v>606.199</v>
      </c>
      <c r="G482" s="25"/>
      <c r="H482" s="26"/>
    </row>
    <row r="483" spans="1:8" ht="12.75" customHeight="1">
      <c r="A483" s="23" t="s">
        <v>92</v>
      </c>
      <c r="B483" s="23"/>
      <c r="C483" s="27"/>
      <c r="D483" s="27"/>
      <c r="E483" s="27"/>
      <c r="F483" s="27"/>
      <c r="G483" s="25"/>
      <c r="H483" s="26"/>
    </row>
    <row r="484" spans="1:8" ht="12.75" customHeight="1">
      <c r="A484" s="23">
        <v>43090</v>
      </c>
      <c r="B484" s="23"/>
      <c r="C484" s="24">
        <f>ROUND(100.308269979542,5)</f>
        <v>100.30827</v>
      </c>
      <c r="D484" s="24">
        <f>F484</f>
        <v>99.75957</v>
      </c>
      <c r="E484" s="24">
        <f>F484</f>
        <v>99.75957</v>
      </c>
      <c r="F484" s="24">
        <f>ROUND(99.7595660925079,5)</f>
        <v>99.75957</v>
      </c>
      <c r="G484" s="25"/>
      <c r="H484" s="26"/>
    </row>
    <row r="485" spans="1:8" ht="12.75" customHeight="1">
      <c r="A485" s="23" t="s">
        <v>93</v>
      </c>
      <c r="B485" s="23"/>
      <c r="C485" s="27"/>
      <c r="D485" s="27"/>
      <c r="E485" s="27"/>
      <c r="F485" s="27"/>
      <c r="G485" s="25"/>
      <c r="H485" s="26"/>
    </row>
    <row r="486" spans="1:8" ht="12.75" customHeight="1">
      <c r="A486" s="23">
        <v>43174</v>
      </c>
      <c r="B486" s="23"/>
      <c r="C486" s="24">
        <f>ROUND(100.308269979542,5)</f>
        <v>100.30827</v>
      </c>
      <c r="D486" s="24">
        <f>F486</f>
        <v>99.66934</v>
      </c>
      <c r="E486" s="24">
        <f>F486</f>
        <v>99.66934</v>
      </c>
      <c r="F486" s="24">
        <f>ROUND(99.6693369546158,5)</f>
        <v>99.66934</v>
      </c>
      <c r="G486" s="25"/>
      <c r="H486" s="26"/>
    </row>
    <row r="487" spans="1:8" ht="12.75" customHeight="1">
      <c r="A487" s="23" t="s">
        <v>94</v>
      </c>
      <c r="B487" s="23"/>
      <c r="C487" s="27"/>
      <c r="D487" s="27"/>
      <c r="E487" s="27"/>
      <c r="F487" s="27"/>
      <c r="G487" s="25"/>
      <c r="H487" s="26"/>
    </row>
    <row r="488" spans="1:8" ht="12.75" customHeight="1">
      <c r="A488" s="23">
        <v>43272</v>
      </c>
      <c r="B488" s="23"/>
      <c r="C488" s="24">
        <f>ROUND(100.308269979542,5)</f>
        <v>100.30827</v>
      </c>
      <c r="D488" s="24">
        <f>F488</f>
        <v>99.77469</v>
      </c>
      <c r="E488" s="24">
        <f>F488</f>
        <v>99.77469</v>
      </c>
      <c r="F488" s="24">
        <f>ROUND(99.7746869877169,5)</f>
        <v>99.77469</v>
      </c>
      <c r="G488" s="25"/>
      <c r="H488" s="26"/>
    </row>
    <row r="489" spans="1:8" ht="12.75" customHeight="1">
      <c r="A489" s="23" t="s">
        <v>95</v>
      </c>
      <c r="B489" s="23"/>
      <c r="C489" s="27"/>
      <c r="D489" s="27"/>
      <c r="E489" s="27"/>
      <c r="F489" s="27"/>
      <c r="G489" s="25"/>
      <c r="H489" s="26"/>
    </row>
    <row r="490" spans="1:8" ht="12.75" customHeight="1">
      <c r="A490" s="23">
        <v>43363</v>
      </c>
      <c r="B490" s="23"/>
      <c r="C490" s="24">
        <f>ROUND(100.308269979542,5)</f>
        <v>100.30827</v>
      </c>
      <c r="D490" s="24">
        <f>F490</f>
        <v>99.87799</v>
      </c>
      <c r="E490" s="24">
        <f>F490</f>
        <v>99.87799</v>
      </c>
      <c r="F490" s="24">
        <f>ROUND(99.8779900769546,5)</f>
        <v>99.87799</v>
      </c>
      <c r="G490" s="25"/>
      <c r="H490" s="26"/>
    </row>
    <row r="491" spans="1:8" ht="12.75" customHeight="1">
      <c r="A491" s="23" t="s">
        <v>96</v>
      </c>
      <c r="B491" s="23"/>
      <c r="C491" s="27"/>
      <c r="D491" s="27"/>
      <c r="E491" s="27"/>
      <c r="F491" s="27"/>
      <c r="G491" s="25"/>
      <c r="H491" s="26"/>
    </row>
    <row r="492" spans="1:8" ht="12.75" customHeight="1">
      <c r="A492" s="23">
        <v>43087</v>
      </c>
      <c r="B492" s="23"/>
      <c r="C492" s="24">
        <f>ROUND(100.695531179487,5)</f>
        <v>100.69553</v>
      </c>
      <c r="D492" s="24">
        <f>F492</f>
        <v>99.79704</v>
      </c>
      <c r="E492" s="24">
        <f>F492</f>
        <v>99.79704</v>
      </c>
      <c r="F492" s="24">
        <f>ROUND(99.7970405006802,5)</f>
        <v>99.79704</v>
      </c>
      <c r="G492" s="25"/>
      <c r="H492" s="26"/>
    </row>
    <row r="493" spans="1:8" ht="12.75" customHeight="1">
      <c r="A493" s="23" t="s">
        <v>97</v>
      </c>
      <c r="B493" s="23"/>
      <c r="C493" s="27"/>
      <c r="D493" s="27"/>
      <c r="E493" s="27"/>
      <c r="F493" s="27"/>
      <c r="G493" s="25"/>
      <c r="H493" s="26"/>
    </row>
    <row r="494" spans="1:8" ht="12.75" customHeight="1">
      <c r="A494" s="23">
        <v>43175</v>
      </c>
      <c r="B494" s="23"/>
      <c r="C494" s="24">
        <f>ROUND(100.695531179487,5)</f>
        <v>100.69553</v>
      </c>
      <c r="D494" s="24">
        <f>F494</f>
        <v>98.95436</v>
      </c>
      <c r="E494" s="24">
        <f>F494</f>
        <v>98.95436</v>
      </c>
      <c r="F494" s="24">
        <f>ROUND(98.9543599377401,5)</f>
        <v>98.95436</v>
      </c>
      <c r="G494" s="25"/>
      <c r="H494" s="26"/>
    </row>
    <row r="495" spans="1:8" ht="12.75" customHeight="1">
      <c r="A495" s="23" t="s">
        <v>98</v>
      </c>
      <c r="B495" s="23"/>
      <c r="C495" s="27"/>
      <c r="D495" s="27"/>
      <c r="E495" s="27"/>
      <c r="F495" s="27"/>
      <c r="G495" s="25"/>
      <c r="H495" s="26"/>
    </row>
    <row r="496" spans="1:8" ht="12.75" customHeight="1">
      <c r="A496" s="23">
        <v>43266</v>
      </c>
      <c r="B496" s="23"/>
      <c r="C496" s="24">
        <f>ROUND(100.695531179487,5)</f>
        <v>100.69553</v>
      </c>
      <c r="D496" s="24">
        <f>F496</f>
        <v>98.46709</v>
      </c>
      <c r="E496" s="24">
        <f>F496</f>
        <v>98.46709</v>
      </c>
      <c r="F496" s="24">
        <f>ROUND(98.4670919438037,5)</f>
        <v>98.46709</v>
      </c>
      <c r="G496" s="25"/>
      <c r="H496" s="26"/>
    </row>
    <row r="497" spans="1:8" ht="12.75" customHeight="1">
      <c r="A497" s="23" t="s">
        <v>99</v>
      </c>
      <c r="B497" s="23"/>
      <c r="C497" s="27"/>
      <c r="D497" s="27"/>
      <c r="E497" s="27"/>
      <c r="F497" s="27"/>
      <c r="G497" s="25"/>
      <c r="H497" s="26"/>
    </row>
    <row r="498" spans="1:8" ht="12.75" customHeight="1">
      <c r="A498" s="23">
        <v>43364</v>
      </c>
      <c r="B498" s="23"/>
      <c r="C498" s="24">
        <f>ROUND(100.695531179487,5)</f>
        <v>100.69553</v>
      </c>
      <c r="D498" s="24">
        <f>F498</f>
        <v>98.3459</v>
      </c>
      <c r="E498" s="24">
        <f>F498</f>
        <v>98.3459</v>
      </c>
      <c r="F498" s="24">
        <f>ROUND(98.3458964196129,5)</f>
        <v>98.3459</v>
      </c>
      <c r="G498" s="25"/>
      <c r="H498" s="26"/>
    </row>
    <row r="499" spans="1:8" ht="12.75" customHeight="1">
      <c r="A499" s="23" t="s">
        <v>100</v>
      </c>
      <c r="B499" s="23"/>
      <c r="C499" s="27"/>
      <c r="D499" s="27"/>
      <c r="E499" s="27"/>
      <c r="F499" s="27"/>
      <c r="G499" s="25"/>
      <c r="H499" s="26"/>
    </row>
    <row r="500" spans="1:8" ht="12.75" customHeight="1">
      <c r="A500" s="23">
        <v>43455</v>
      </c>
      <c r="B500" s="23"/>
      <c r="C500" s="25">
        <f>ROUND(100.695531179487,2)</f>
        <v>100.7</v>
      </c>
      <c r="D500" s="25">
        <f>F500</f>
        <v>98.69</v>
      </c>
      <c r="E500" s="25">
        <f>F500</f>
        <v>98.69</v>
      </c>
      <c r="F500" s="25">
        <f>ROUND(98.6867492906379,2)</f>
        <v>98.69</v>
      </c>
      <c r="G500" s="25"/>
      <c r="H500" s="26"/>
    </row>
    <row r="501" spans="1:8" ht="12.75" customHeight="1">
      <c r="A501" s="23" t="s">
        <v>101</v>
      </c>
      <c r="B501" s="23"/>
      <c r="C501" s="27"/>
      <c r="D501" s="27"/>
      <c r="E501" s="27"/>
      <c r="F501" s="27"/>
      <c r="G501" s="25"/>
      <c r="H501" s="26"/>
    </row>
    <row r="502" spans="1:8" ht="12.75" customHeight="1">
      <c r="A502" s="23">
        <v>43539</v>
      </c>
      <c r="B502" s="23"/>
      <c r="C502" s="24">
        <f>ROUND(100.695531179487,5)</f>
        <v>100.69553</v>
      </c>
      <c r="D502" s="24">
        <f>F502</f>
        <v>99.04763</v>
      </c>
      <c r="E502" s="24">
        <f>F502</f>
        <v>99.04763</v>
      </c>
      <c r="F502" s="24">
        <f>ROUND(99.0476315113471,5)</f>
        <v>99.04763</v>
      </c>
      <c r="G502" s="25"/>
      <c r="H502" s="26"/>
    </row>
    <row r="503" spans="1:8" ht="12.75" customHeight="1">
      <c r="A503" s="23" t="s">
        <v>102</v>
      </c>
      <c r="B503" s="23"/>
      <c r="C503" s="27"/>
      <c r="D503" s="27"/>
      <c r="E503" s="27"/>
      <c r="F503" s="27"/>
      <c r="G503" s="25"/>
      <c r="H503" s="26"/>
    </row>
    <row r="504" spans="1:8" ht="12.75" customHeight="1">
      <c r="A504" s="23">
        <v>43637</v>
      </c>
      <c r="B504" s="23"/>
      <c r="C504" s="24">
        <f>ROUND(100.695531179487,5)</f>
        <v>100.69553</v>
      </c>
      <c r="D504" s="24">
        <f>F504</f>
        <v>99.39804</v>
      </c>
      <c r="E504" s="24">
        <f>F504</f>
        <v>99.39804</v>
      </c>
      <c r="F504" s="24">
        <f>ROUND(99.3980414609449,5)</f>
        <v>99.39804</v>
      </c>
      <c r="G504" s="25"/>
      <c r="H504" s="26"/>
    </row>
    <row r="505" spans="1:8" ht="12.75" customHeight="1">
      <c r="A505" s="23" t="s">
        <v>103</v>
      </c>
      <c r="B505" s="23"/>
      <c r="C505" s="27"/>
      <c r="D505" s="27"/>
      <c r="E505" s="27"/>
      <c r="F505" s="27"/>
      <c r="G505" s="25"/>
      <c r="H505" s="26"/>
    </row>
    <row r="506" spans="1:8" ht="12.75" customHeight="1">
      <c r="A506" s="23">
        <v>43728</v>
      </c>
      <c r="B506" s="23"/>
      <c r="C506" s="24">
        <f>ROUND(100.695531179487,5)</f>
        <v>100.69553</v>
      </c>
      <c r="D506" s="24">
        <f>F506</f>
        <v>99.76472</v>
      </c>
      <c r="E506" s="24">
        <f>F506</f>
        <v>99.76472</v>
      </c>
      <c r="F506" s="24">
        <f>ROUND(99.7647155489394,5)</f>
        <v>99.76472</v>
      </c>
      <c r="G506" s="25"/>
      <c r="H506" s="26"/>
    </row>
    <row r="507" spans="1:8" ht="12.75" customHeight="1">
      <c r="A507" s="23" t="s">
        <v>104</v>
      </c>
      <c r="B507" s="23"/>
      <c r="C507" s="27"/>
      <c r="D507" s="27"/>
      <c r="E507" s="27"/>
      <c r="F507" s="27"/>
      <c r="G507" s="25"/>
      <c r="H507" s="26"/>
    </row>
    <row r="508" spans="1:8" ht="12.75" customHeight="1">
      <c r="A508" s="23">
        <v>44182</v>
      </c>
      <c r="B508" s="23"/>
      <c r="C508" s="24">
        <f>ROUND(101.563622656297,5)</f>
        <v>101.56362</v>
      </c>
      <c r="D508" s="24">
        <f>F508</f>
        <v>95.94792</v>
      </c>
      <c r="E508" s="24">
        <f>F508</f>
        <v>95.94792</v>
      </c>
      <c r="F508" s="24">
        <f>ROUND(95.9479242339975,5)</f>
        <v>95.94792</v>
      </c>
      <c r="G508" s="25"/>
      <c r="H508" s="26"/>
    </row>
    <row r="509" spans="1:8" ht="12.75" customHeight="1">
      <c r="A509" s="23" t="s">
        <v>105</v>
      </c>
      <c r="B509" s="23"/>
      <c r="C509" s="27"/>
      <c r="D509" s="27"/>
      <c r="E509" s="27"/>
      <c r="F509" s="27"/>
      <c r="G509" s="25"/>
      <c r="H509" s="26"/>
    </row>
    <row r="510" spans="1:8" ht="12.75" customHeight="1">
      <c r="A510" s="23">
        <v>44271</v>
      </c>
      <c r="B510" s="23"/>
      <c r="C510" s="24">
        <f>ROUND(101.563622656297,5)</f>
        <v>101.56362</v>
      </c>
      <c r="D510" s="24">
        <f>F510</f>
        <v>95.18157</v>
      </c>
      <c r="E510" s="24">
        <f>F510</f>
        <v>95.18157</v>
      </c>
      <c r="F510" s="24">
        <f>ROUND(95.1815712080486,5)</f>
        <v>95.18157</v>
      </c>
      <c r="G510" s="25"/>
      <c r="H510" s="26"/>
    </row>
    <row r="511" spans="1:8" ht="12.75" customHeight="1">
      <c r="A511" s="23" t="s">
        <v>106</v>
      </c>
      <c r="B511" s="23"/>
      <c r="C511" s="27"/>
      <c r="D511" s="27"/>
      <c r="E511" s="27"/>
      <c r="F511" s="27"/>
      <c r="G511" s="25"/>
      <c r="H511" s="26"/>
    </row>
    <row r="512" spans="1:8" ht="12.75" customHeight="1">
      <c r="A512" s="23">
        <v>44362</v>
      </c>
      <c r="B512" s="23"/>
      <c r="C512" s="24">
        <f>ROUND(101.563622656297,5)</f>
        <v>101.56362</v>
      </c>
      <c r="D512" s="24">
        <f>F512</f>
        <v>94.38219</v>
      </c>
      <c r="E512" s="24">
        <f>F512</f>
        <v>94.38219</v>
      </c>
      <c r="F512" s="24">
        <f>ROUND(94.382193392277,5)</f>
        <v>94.38219</v>
      </c>
      <c r="G512" s="25"/>
      <c r="H512" s="26"/>
    </row>
    <row r="513" spans="1:8" ht="12.75" customHeight="1">
      <c r="A513" s="23" t="s">
        <v>107</v>
      </c>
      <c r="B513" s="23"/>
      <c r="C513" s="27"/>
      <c r="D513" s="27"/>
      <c r="E513" s="27"/>
      <c r="F513" s="27"/>
      <c r="G513" s="25"/>
      <c r="H513" s="26"/>
    </row>
    <row r="514" spans="1:8" ht="12.75" customHeight="1">
      <c r="A514" s="23">
        <v>44460</v>
      </c>
      <c r="B514" s="23"/>
      <c r="C514" s="24">
        <f>ROUND(101.563622656297,5)</f>
        <v>101.56362</v>
      </c>
      <c r="D514" s="24">
        <f>F514</f>
        <v>94.55901</v>
      </c>
      <c r="E514" s="24">
        <f>F514</f>
        <v>94.55901</v>
      </c>
      <c r="F514" s="24">
        <f>ROUND(94.5590082560023,5)</f>
        <v>94.55901</v>
      </c>
      <c r="G514" s="25"/>
      <c r="H514" s="26"/>
    </row>
    <row r="515" spans="1:8" ht="12.75" customHeight="1">
      <c r="A515" s="23" t="s">
        <v>108</v>
      </c>
      <c r="B515" s="23"/>
      <c r="C515" s="27"/>
      <c r="D515" s="27"/>
      <c r="E515" s="27"/>
      <c r="F515" s="27"/>
      <c r="G515" s="25"/>
      <c r="H515" s="26"/>
    </row>
    <row r="516" spans="1:8" ht="12.75" customHeight="1">
      <c r="A516" s="23">
        <v>44551</v>
      </c>
      <c r="B516" s="23"/>
      <c r="C516" s="24">
        <f>ROUND(101.563622656297,5)</f>
        <v>101.56362</v>
      </c>
      <c r="D516" s="24">
        <f>F516</f>
        <v>96.75536</v>
      </c>
      <c r="E516" s="24">
        <f>F516</f>
        <v>96.75536</v>
      </c>
      <c r="F516" s="24">
        <f>ROUND(96.7553630263647,5)</f>
        <v>96.75536</v>
      </c>
      <c r="G516" s="25"/>
      <c r="H516" s="26"/>
    </row>
    <row r="517" spans="1:8" ht="12.75" customHeight="1">
      <c r="A517" s="23" t="s">
        <v>109</v>
      </c>
      <c r="B517" s="23"/>
      <c r="C517" s="27"/>
      <c r="D517" s="27"/>
      <c r="E517" s="27"/>
      <c r="F517" s="27"/>
      <c r="G517" s="25"/>
      <c r="H517" s="26"/>
    </row>
    <row r="518" spans="1:8" ht="12.75" customHeight="1">
      <c r="A518" s="23">
        <v>44635</v>
      </c>
      <c r="B518" s="23"/>
      <c r="C518" s="24">
        <f>ROUND(101.563622656297,5)</f>
        <v>101.56362</v>
      </c>
      <c r="D518" s="24">
        <f>F518</f>
        <v>96.89664</v>
      </c>
      <c r="E518" s="24">
        <f>F518</f>
        <v>96.89664</v>
      </c>
      <c r="F518" s="24">
        <f>ROUND(96.8966421088528,5)</f>
        <v>96.89664</v>
      </c>
      <c r="G518" s="25"/>
      <c r="H518" s="26"/>
    </row>
    <row r="519" spans="1:8" ht="12.75" customHeight="1">
      <c r="A519" s="23" t="s">
        <v>110</v>
      </c>
      <c r="B519" s="23"/>
      <c r="C519" s="27"/>
      <c r="D519" s="27"/>
      <c r="E519" s="27"/>
      <c r="F519" s="27"/>
      <c r="G519" s="25"/>
      <c r="H519" s="26"/>
    </row>
    <row r="520" spans="1:8" ht="12.75" customHeight="1">
      <c r="A520" s="23">
        <v>44733</v>
      </c>
      <c r="B520" s="23"/>
      <c r="C520" s="24">
        <f>ROUND(101.563622656297,5)</f>
        <v>101.56362</v>
      </c>
      <c r="D520" s="24">
        <f>F520</f>
        <v>98.08885</v>
      </c>
      <c r="E520" s="24">
        <f>F520</f>
        <v>98.08885</v>
      </c>
      <c r="F520" s="24">
        <f>ROUND(98.0888455481831,5)</f>
        <v>98.08885</v>
      </c>
      <c r="G520" s="25"/>
      <c r="H520" s="26"/>
    </row>
    <row r="521" spans="1:8" ht="12.75" customHeight="1">
      <c r="A521" s="23" t="s">
        <v>111</v>
      </c>
      <c r="B521" s="23"/>
      <c r="C521" s="27"/>
      <c r="D521" s="27"/>
      <c r="E521" s="27"/>
      <c r="F521" s="27"/>
      <c r="G521" s="25"/>
      <c r="H521" s="26"/>
    </row>
    <row r="522" spans="1:8" ht="12.75" customHeight="1">
      <c r="A522" s="23">
        <v>44824</v>
      </c>
      <c r="B522" s="23"/>
      <c r="C522" s="24">
        <f>ROUND(101.563622656297,5)</f>
        <v>101.56362</v>
      </c>
      <c r="D522" s="24">
        <f>F522</f>
        <v>100.29995</v>
      </c>
      <c r="E522" s="24">
        <f>F522</f>
        <v>100.29995</v>
      </c>
      <c r="F522" s="24">
        <f>ROUND(100.299949204998,5)</f>
        <v>100.29995</v>
      </c>
      <c r="G522" s="25"/>
      <c r="H522" s="26"/>
    </row>
    <row r="523" spans="1:8" ht="12.75" customHeight="1">
      <c r="A523" s="23" t="s">
        <v>112</v>
      </c>
      <c r="B523" s="23"/>
      <c r="C523" s="27"/>
      <c r="D523" s="27"/>
      <c r="E523" s="27"/>
      <c r="F523" s="27"/>
      <c r="G523" s="25"/>
      <c r="H523" s="26"/>
    </row>
    <row r="524" spans="1:8" ht="12.75" customHeight="1">
      <c r="A524" s="23">
        <v>46008</v>
      </c>
      <c r="B524" s="23"/>
      <c r="C524" s="24">
        <f>ROUND(101.704420671271,5)</f>
        <v>101.70442</v>
      </c>
      <c r="D524" s="24">
        <f>F524</f>
        <v>95.13221</v>
      </c>
      <c r="E524" s="24">
        <f>F524</f>
        <v>95.13221</v>
      </c>
      <c r="F524" s="24">
        <f>ROUND(95.1322116109829,5)</f>
        <v>95.13221</v>
      </c>
      <c r="G524" s="25"/>
      <c r="H524" s="26"/>
    </row>
    <row r="525" spans="1:8" ht="12.75" customHeight="1">
      <c r="A525" s="23" t="s">
        <v>113</v>
      </c>
      <c r="B525" s="23"/>
      <c r="C525" s="27"/>
      <c r="D525" s="27"/>
      <c r="E525" s="27"/>
      <c r="F525" s="27"/>
      <c r="G525" s="25"/>
      <c r="H525" s="26"/>
    </row>
    <row r="526" spans="1:8" ht="12.75" customHeight="1">
      <c r="A526" s="23">
        <v>46097</v>
      </c>
      <c r="B526" s="23"/>
      <c r="C526" s="24">
        <f>ROUND(101.704420671271,5)</f>
        <v>101.70442</v>
      </c>
      <c r="D526" s="24">
        <f>F526</f>
        <v>92.17384</v>
      </c>
      <c r="E526" s="24">
        <f>F526</f>
        <v>92.17384</v>
      </c>
      <c r="F526" s="24">
        <f>ROUND(92.1738399418528,5)</f>
        <v>92.17384</v>
      </c>
      <c r="G526" s="25"/>
      <c r="H526" s="26"/>
    </row>
    <row r="527" spans="1:8" ht="12.75" customHeight="1">
      <c r="A527" s="23" t="s">
        <v>114</v>
      </c>
      <c r="B527" s="23"/>
      <c r="C527" s="27"/>
      <c r="D527" s="27"/>
      <c r="E527" s="27"/>
      <c r="F527" s="27"/>
      <c r="G527" s="25"/>
      <c r="H527" s="26"/>
    </row>
    <row r="528" spans="1:8" ht="12.75" customHeight="1">
      <c r="A528" s="23">
        <v>46188</v>
      </c>
      <c r="B528" s="23"/>
      <c r="C528" s="24">
        <f>ROUND(101.704420671271,5)</f>
        <v>101.70442</v>
      </c>
      <c r="D528" s="24">
        <f>F528</f>
        <v>90.95106</v>
      </c>
      <c r="E528" s="24">
        <f>F528</f>
        <v>90.95106</v>
      </c>
      <c r="F528" s="24">
        <f>ROUND(90.9510604781572,5)</f>
        <v>90.95106</v>
      </c>
      <c r="G528" s="25"/>
      <c r="H528" s="26"/>
    </row>
    <row r="529" spans="1:8" ht="12.75" customHeight="1">
      <c r="A529" s="23" t="s">
        <v>115</v>
      </c>
      <c r="B529" s="23"/>
      <c r="C529" s="27"/>
      <c r="D529" s="27"/>
      <c r="E529" s="27"/>
      <c r="F529" s="27"/>
      <c r="G529" s="25"/>
      <c r="H529" s="26"/>
    </row>
    <row r="530" spans="1:8" ht="12.75" customHeight="1">
      <c r="A530" s="23">
        <v>46286</v>
      </c>
      <c r="B530" s="23"/>
      <c r="C530" s="24">
        <f>ROUND(101.704420671271,5)</f>
        <v>101.70442</v>
      </c>
      <c r="D530" s="24">
        <f>F530</f>
        <v>93.1319</v>
      </c>
      <c r="E530" s="24">
        <f>F530</f>
        <v>93.1319</v>
      </c>
      <c r="F530" s="24">
        <f>ROUND(93.1318979162737,5)</f>
        <v>93.1319</v>
      </c>
      <c r="G530" s="25"/>
      <c r="H530" s="26"/>
    </row>
    <row r="531" spans="1:8" ht="12.75" customHeight="1">
      <c r="A531" s="23" t="s">
        <v>116</v>
      </c>
      <c r="B531" s="23"/>
      <c r="C531" s="27"/>
      <c r="D531" s="27"/>
      <c r="E531" s="27"/>
      <c r="F531" s="27"/>
      <c r="G531" s="25"/>
      <c r="H531" s="26"/>
    </row>
    <row r="532" spans="1:8" ht="12.75" customHeight="1">
      <c r="A532" s="23">
        <v>46377</v>
      </c>
      <c r="B532" s="23"/>
      <c r="C532" s="24">
        <f>ROUND(101.704420671271,5)</f>
        <v>101.70442</v>
      </c>
      <c r="D532" s="24">
        <f>F532</f>
        <v>96.92704</v>
      </c>
      <c r="E532" s="24">
        <f>F532</f>
        <v>96.92704</v>
      </c>
      <c r="F532" s="24">
        <f>ROUND(96.9270359139979,5)</f>
        <v>96.92704</v>
      </c>
      <c r="G532" s="25"/>
      <c r="H532" s="26"/>
    </row>
    <row r="533" spans="1:8" ht="12.75" customHeight="1">
      <c r="A533" s="23" t="s">
        <v>117</v>
      </c>
      <c r="B533" s="23"/>
      <c r="C533" s="27"/>
      <c r="D533" s="27"/>
      <c r="E533" s="27"/>
      <c r="F533" s="27"/>
      <c r="G533" s="25"/>
      <c r="H533" s="26"/>
    </row>
    <row r="534" spans="1:8" ht="12.75" customHeight="1">
      <c r="A534" s="23">
        <v>46461</v>
      </c>
      <c r="B534" s="23"/>
      <c r="C534" s="24">
        <f>ROUND(101.704420671271,5)</f>
        <v>101.70442</v>
      </c>
      <c r="D534" s="24">
        <f>F534</f>
        <v>95.51992</v>
      </c>
      <c r="E534" s="24">
        <f>F534</f>
        <v>95.51992</v>
      </c>
      <c r="F534" s="24">
        <f>ROUND(95.5199220029927,5)</f>
        <v>95.51992</v>
      </c>
      <c r="G534" s="25"/>
      <c r="H534" s="26"/>
    </row>
    <row r="535" spans="1:8" ht="12.75" customHeight="1">
      <c r="A535" s="23" t="s">
        <v>118</v>
      </c>
      <c r="B535" s="23"/>
      <c r="C535" s="27"/>
      <c r="D535" s="27"/>
      <c r="E535" s="27"/>
      <c r="F535" s="27"/>
      <c r="G535" s="25"/>
      <c r="H535" s="26"/>
    </row>
    <row r="536" spans="1:8" ht="12.75" customHeight="1">
      <c r="A536" s="23">
        <v>46559</v>
      </c>
      <c r="B536" s="23"/>
      <c r="C536" s="24">
        <f>ROUND(101.704420671271,5)</f>
        <v>101.70442</v>
      </c>
      <c r="D536" s="24">
        <f>F536</f>
        <v>97.59743</v>
      </c>
      <c r="E536" s="24">
        <f>F536</f>
        <v>97.59743</v>
      </c>
      <c r="F536" s="24">
        <f>ROUND(97.5974325691896,5)</f>
        <v>97.59743</v>
      </c>
      <c r="G536" s="25"/>
      <c r="H536" s="26"/>
    </row>
    <row r="537" spans="1:8" ht="12.75" customHeight="1">
      <c r="A537" s="23" t="s">
        <v>119</v>
      </c>
      <c r="B537" s="23"/>
      <c r="C537" s="27"/>
      <c r="D537" s="27"/>
      <c r="E537" s="27"/>
      <c r="F537" s="27"/>
      <c r="G537" s="25"/>
      <c r="H537" s="26"/>
    </row>
    <row r="538" spans="1:8" ht="12.75" customHeight="1" thickBot="1">
      <c r="A538" s="31">
        <v>46650</v>
      </c>
      <c r="B538" s="31"/>
      <c r="C538" s="32">
        <f>ROUND(101.704420671271,5)</f>
        <v>101.70442</v>
      </c>
      <c r="D538" s="32">
        <f>F538</f>
        <v>101.32971</v>
      </c>
      <c r="E538" s="32">
        <f>F538</f>
        <v>101.32971</v>
      </c>
      <c r="F538" s="32">
        <f>ROUND(101.329705133106,5)</f>
        <v>101.32971</v>
      </c>
      <c r="G538" s="33"/>
      <c r="H538" s="34"/>
    </row>
  </sheetData>
  <sheetProtection/>
  <mergeCells count="537">
    <mergeCell ref="A537:B537"/>
    <mergeCell ref="A538:B538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5:B465"/>
    <mergeCell ref="A466:B466"/>
    <mergeCell ref="A467:B467"/>
    <mergeCell ref="A468:B468"/>
    <mergeCell ref="A469:B469"/>
    <mergeCell ref="A470:B470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47:B447"/>
    <mergeCell ref="A448:B448"/>
    <mergeCell ref="A449:B449"/>
    <mergeCell ref="A450:B450"/>
    <mergeCell ref="A451:B451"/>
    <mergeCell ref="A452:B452"/>
    <mergeCell ref="A441:B441"/>
    <mergeCell ref="A442:B442"/>
    <mergeCell ref="A443:B443"/>
    <mergeCell ref="A444:B444"/>
    <mergeCell ref="A445:B445"/>
    <mergeCell ref="A446:B446"/>
    <mergeCell ref="A435:B435"/>
    <mergeCell ref="A436:B436"/>
    <mergeCell ref="A437:B437"/>
    <mergeCell ref="A438:B438"/>
    <mergeCell ref="A439:B439"/>
    <mergeCell ref="A440:B440"/>
    <mergeCell ref="A429:B429"/>
    <mergeCell ref="A430:B430"/>
    <mergeCell ref="A431:B431"/>
    <mergeCell ref="A432:B432"/>
    <mergeCell ref="A433:B433"/>
    <mergeCell ref="A434:B434"/>
    <mergeCell ref="A423:B423"/>
    <mergeCell ref="A424:B424"/>
    <mergeCell ref="A425:B425"/>
    <mergeCell ref="A426:B426"/>
    <mergeCell ref="A427:B427"/>
    <mergeCell ref="A428:B428"/>
    <mergeCell ref="A417:B417"/>
    <mergeCell ref="A418:B418"/>
    <mergeCell ref="A419:B419"/>
    <mergeCell ref="A420:B420"/>
    <mergeCell ref="A421:B421"/>
    <mergeCell ref="A422:B422"/>
    <mergeCell ref="A411:B411"/>
    <mergeCell ref="A412:B412"/>
    <mergeCell ref="A413:B413"/>
    <mergeCell ref="A414:B414"/>
    <mergeCell ref="A415:B415"/>
    <mergeCell ref="A416:B416"/>
    <mergeCell ref="A405:B405"/>
    <mergeCell ref="A406:B406"/>
    <mergeCell ref="A407:B407"/>
    <mergeCell ref="A408:B408"/>
    <mergeCell ref="A409:B409"/>
    <mergeCell ref="A410:B410"/>
    <mergeCell ref="A399:B399"/>
    <mergeCell ref="A400:B400"/>
    <mergeCell ref="A401:B401"/>
    <mergeCell ref="A402:B402"/>
    <mergeCell ref="A403:B403"/>
    <mergeCell ref="A404:B404"/>
    <mergeCell ref="A393:B393"/>
    <mergeCell ref="A394:B394"/>
    <mergeCell ref="A395:B395"/>
    <mergeCell ref="A396:B396"/>
    <mergeCell ref="A397:B397"/>
    <mergeCell ref="A398:B398"/>
    <mergeCell ref="A387:B387"/>
    <mergeCell ref="A388:B388"/>
    <mergeCell ref="A389:B389"/>
    <mergeCell ref="A390:B390"/>
    <mergeCell ref="A391:B391"/>
    <mergeCell ref="A392:B392"/>
    <mergeCell ref="A381:B381"/>
    <mergeCell ref="A382:B382"/>
    <mergeCell ref="A383:B383"/>
    <mergeCell ref="A384:B384"/>
    <mergeCell ref="A385:B385"/>
    <mergeCell ref="A386:B386"/>
    <mergeCell ref="A375:B375"/>
    <mergeCell ref="A376:B376"/>
    <mergeCell ref="A377:B377"/>
    <mergeCell ref="A378:B378"/>
    <mergeCell ref="A379:B379"/>
    <mergeCell ref="A380:B380"/>
    <mergeCell ref="A369:B369"/>
    <mergeCell ref="A370:B370"/>
    <mergeCell ref="A371:B371"/>
    <mergeCell ref="A372:B372"/>
    <mergeCell ref="A373:B373"/>
    <mergeCell ref="A374:B374"/>
    <mergeCell ref="A363:B363"/>
    <mergeCell ref="A364:B364"/>
    <mergeCell ref="A365:B365"/>
    <mergeCell ref="A366:B366"/>
    <mergeCell ref="A367:B367"/>
    <mergeCell ref="A368:B368"/>
    <mergeCell ref="A357:B357"/>
    <mergeCell ref="A358:B358"/>
    <mergeCell ref="A359:B359"/>
    <mergeCell ref="A360:B360"/>
    <mergeCell ref="A361:B361"/>
    <mergeCell ref="A362:B362"/>
    <mergeCell ref="A351:B351"/>
    <mergeCell ref="A352:B352"/>
    <mergeCell ref="A353:B353"/>
    <mergeCell ref="A354:B354"/>
    <mergeCell ref="A355:B355"/>
    <mergeCell ref="A356:B356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3:B333"/>
    <mergeCell ref="A334:B334"/>
    <mergeCell ref="A335:B335"/>
    <mergeCell ref="A336:B336"/>
    <mergeCell ref="A337:B337"/>
    <mergeCell ref="A338:B338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55:B255"/>
    <mergeCell ref="A256:B256"/>
    <mergeCell ref="A257:B257"/>
    <mergeCell ref="A258:B258"/>
    <mergeCell ref="A259:B259"/>
    <mergeCell ref="A260:B260"/>
    <mergeCell ref="A249:B249"/>
    <mergeCell ref="A250:B250"/>
    <mergeCell ref="A251:B251"/>
    <mergeCell ref="A252:B252"/>
    <mergeCell ref="A253:B253"/>
    <mergeCell ref="A254:B254"/>
    <mergeCell ref="A243:B243"/>
    <mergeCell ref="A244:B244"/>
    <mergeCell ref="A245:B245"/>
    <mergeCell ref="A246:B246"/>
    <mergeCell ref="A247:B247"/>
    <mergeCell ref="A248:B248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5:B225"/>
    <mergeCell ref="A226:B226"/>
    <mergeCell ref="A227:B227"/>
    <mergeCell ref="A228:B228"/>
    <mergeCell ref="A229:B229"/>
    <mergeCell ref="A230:B230"/>
    <mergeCell ref="A220:B220"/>
    <mergeCell ref="A221:B221"/>
    <mergeCell ref="A222:B222"/>
    <mergeCell ref="A223:B223"/>
    <mergeCell ref="A224:B224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Sixolisile Mahlasela</cp:lastModifiedBy>
  <cp:lastPrinted>2008-12-04T15:24:37Z</cp:lastPrinted>
  <dcterms:created xsi:type="dcterms:W3CDTF">1997-08-29T10:04:45Z</dcterms:created>
  <dcterms:modified xsi:type="dcterms:W3CDTF">2017-10-03T16:05:54Z</dcterms:modified>
  <cp:category/>
  <cp:version/>
  <cp:contentType/>
  <cp:contentStatus/>
</cp:coreProperties>
</file>