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<sst xmlns="http://schemas.openxmlformats.org/spreadsheetml/2006/main" count="125" uniqueCount="121">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</sst>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43091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ROUND(99.503943468234,2)</f>
        <v>99.5</v>
      </c>
      <c r="D6" s="24">
        <f>F6</f>
        <v>99.72</v>
      </c>
      <c r="E6" s="24">
        <f>F6</f>
        <v>99.72</v>
      </c>
      <c r="F6" s="24">
        <f>ROUND(99.724581720665,2)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ROUND(99.503943468234,2)</f>
        <v>99.5</v>
      </c>
      <c r="D7" s="24">
        <f>F7</f>
        <v>99.88</v>
      </c>
      <c r="E7" s="24">
        <f>F7</f>
        <v>99.88</v>
      </c>
      <c r="F7" s="24">
        <f>ROUND(99.8847301909748,2)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ROUND(99.503943468234,2)</f>
        <v>99.5</v>
      </c>
      <c r="D8" s="24">
        <f>F8</f>
        <v>100.02</v>
      </c>
      <c r="E8" s="24">
        <f>F8</f>
        <v>100.02</v>
      </c>
      <c r="F8" s="24">
        <f>ROUND(100.022701154754,2)</f>
        <v>100.02</v>
      </c>
      <c r="G8" s="24"/>
      <c r="H8" s="36"/>
    </row>
    <row r="9" spans="1:8" ht="12.75" customHeight="1">
      <c r="A9" s="22">
        <v>43454</v>
      </c>
      <c r="B9" s="22"/>
      <c r="C9" s="24">
        <f>ROUND(99.503943468234,2)</f>
        <v>99.5</v>
      </c>
      <c r="D9" s="24">
        <f>F9</f>
        <v>100.48</v>
      </c>
      <c r="E9" s="24">
        <f>F9</f>
        <v>100.48</v>
      </c>
      <c r="F9" s="24">
        <f>ROUND(100.476641316809,2)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ROUND(99.503943468234,2)</f>
        <v>99.5</v>
      </c>
      <c r="D10" s="24">
        <f>F10</f>
        <v>99.5</v>
      </c>
      <c r="E10" s="24">
        <f>F10</f>
        <v>99.5</v>
      </c>
      <c r="F10" s="24">
        <f>ROUND(99.503943468234,2)</f>
        <v>99.5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ROUND(98.7378224624201,2)</f>
        <v>98.74</v>
      </c>
      <c r="D12" s="24">
        <f>F12</f>
        <v>99.01</v>
      </c>
      <c r="E12" s="24">
        <f>F12</f>
        <v>99.01</v>
      </c>
      <c r="F12" s="24">
        <f>ROUND(99.0075011875069,2)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ROUND(98.7378224624201,2)</f>
        <v>98.74</v>
      </c>
      <c r="D13" s="24">
        <f>F13</f>
        <v>98.57</v>
      </c>
      <c r="E13" s="24">
        <f>F13</f>
        <v>98.57</v>
      </c>
      <c r="F13" s="24">
        <f>ROUND(98.5724069595314,2)</f>
        <v>98.57</v>
      </c>
      <c r="G13" s="24"/>
      <c r="H13" s="36"/>
    </row>
    <row r="14" spans="1:8" ht="12.75" customHeight="1">
      <c r="A14" s="22">
        <v>43364</v>
      </c>
      <c r="B14" s="22"/>
      <c r="C14" s="24">
        <f>ROUND(98.7378224624201,2)</f>
        <v>98.74</v>
      </c>
      <c r="D14" s="24">
        <f>F14</f>
        <v>98.49</v>
      </c>
      <c r="E14" s="24">
        <f>F14</f>
        <v>98.49</v>
      </c>
      <c r="F14" s="24">
        <f>ROUND(98.4943156937767,2)</f>
        <v>98.49</v>
      </c>
      <c r="G14" s="24"/>
      <c r="H14" s="36"/>
    </row>
    <row r="15" spans="1:8" ht="12.75" customHeight="1">
      <c r="A15" s="22">
        <v>43455</v>
      </c>
      <c r="B15" s="22"/>
      <c r="C15" s="24">
        <f>ROUND(98.7378224624201,2)</f>
        <v>98.74</v>
      </c>
      <c r="D15" s="24">
        <f>F15</f>
        <v>98.86</v>
      </c>
      <c r="E15" s="24">
        <f>F15</f>
        <v>98.86</v>
      </c>
      <c r="F15" s="24">
        <f>ROUND(98.8600024382962,2)</f>
        <v>98.86</v>
      </c>
      <c r="G15" s="24"/>
      <c r="H15" s="36"/>
    </row>
    <row r="16" spans="1:8" ht="12.75" customHeight="1">
      <c r="A16" s="22">
        <v>43539</v>
      </c>
      <c r="B16" s="22"/>
      <c r="C16" s="24">
        <f>ROUND(98.7378224624201,2)</f>
        <v>98.74</v>
      </c>
      <c r="D16" s="24">
        <f>F16</f>
        <v>99.25</v>
      </c>
      <c r="E16" s="24">
        <f>F16</f>
        <v>99.25</v>
      </c>
      <c r="F16" s="24">
        <f>ROUND(99.2497965808281,2)</f>
        <v>99.25</v>
      </c>
      <c r="G16" s="24"/>
      <c r="H16" s="36"/>
    </row>
    <row r="17" spans="1:8" ht="12.75" customHeight="1">
      <c r="A17" s="22">
        <v>43637</v>
      </c>
      <c r="B17" s="22"/>
      <c r="C17" s="24">
        <f>ROUND(98.7378224624201,2)</f>
        <v>98.74</v>
      </c>
      <c r="D17" s="24">
        <f>F17</f>
        <v>99.64</v>
      </c>
      <c r="E17" s="24">
        <f>F17</f>
        <v>99.64</v>
      </c>
      <c r="F17" s="24">
        <f>ROUND(99.6358735784588,2)</f>
        <v>99.64</v>
      </c>
      <c r="G17" s="24"/>
      <c r="H17" s="36"/>
    </row>
    <row r="18" spans="1:8" ht="12.75" customHeight="1">
      <c r="A18" s="22">
        <v>43728</v>
      </c>
      <c r="B18" s="22"/>
      <c r="C18" s="24">
        <f>ROUND(98.7378224624201,2)</f>
        <v>98.74</v>
      </c>
      <c r="D18" s="24">
        <f>F18</f>
        <v>100.03</v>
      </c>
      <c r="E18" s="24">
        <f>F18</f>
        <v>100.03</v>
      </c>
      <c r="F18" s="24">
        <f>ROUND(100.032152003134,2)</f>
        <v>100.03</v>
      </c>
      <c r="G18" s="24"/>
      <c r="H18" s="36"/>
    </row>
    <row r="19" spans="1:8" ht="12.75" customHeight="1">
      <c r="A19" s="22">
        <v>43819</v>
      </c>
      <c r="B19" s="22"/>
      <c r="C19" s="24">
        <f>ROUND(98.7378224624201,2)</f>
        <v>98.74</v>
      </c>
      <c r="D19" s="24">
        <f>F19</f>
        <v>100.97</v>
      </c>
      <c r="E19" s="24">
        <f>F19</f>
        <v>100.97</v>
      </c>
      <c r="F19" s="24">
        <f>ROUND(100.970024395663,2)</f>
        <v>100.97</v>
      </c>
      <c r="G19" s="24"/>
      <c r="H19" s="36"/>
    </row>
    <row r="20" spans="1:8" ht="12.75" customHeight="1">
      <c r="A20" s="22">
        <v>43913</v>
      </c>
      <c r="B20" s="22"/>
      <c r="C20" s="24">
        <f>ROUND(98.7378224624201,2)</f>
        <v>98.74</v>
      </c>
      <c r="D20" s="24">
        <f>F20</f>
        <v>98.74</v>
      </c>
      <c r="E20" s="24">
        <f>F20</f>
        <v>98.74</v>
      </c>
      <c r="F20" s="24">
        <f>ROUND(98.7378224624201,2)</f>
        <v>98.74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ROUND(97.0002153950431,2)</f>
        <v>97</v>
      </c>
      <c r="D22" s="24">
        <f>F22</f>
        <v>96.26</v>
      </c>
      <c r="E22" s="24">
        <f>F22</f>
        <v>96.26</v>
      </c>
      <c r="F22" s="24">
        <f>ROUND(96.2580946519228,2)</f>
        <v>96.26</v>
      </c>
      <c r="G22" s="24"/>
      <c r="H22" s="36"/>
    </row>
    <row r="23" spans="1:8" ht="12.75" customHeight="1">
      <c r="A23" s="22">
        <v>44271</v>
      </c>
      <c r="B23" s="22"/>
      <c r="C23" s="24">
        <f>ROUND(97.0002153950431,2)</f>
        <v>97</v>
      </c>
      <c r="D23" s="24">
        <f>F23</f>
        <v>95.49</v>
      </c>
      <c r="E23" s="24">
        <f>F23</f>
        <v>95.49</v>
      </c>
      <c r="F23" s="24">
        <f>ROUND(95.4910250099415,2)</f>
        <v>95.49</v>
      </c>
      <c r="G23" s="24"/>
      <c r="H23" s="36"/>
    </row>
    <row r="24" spans="1:8" ht="12.75" customHeight="1">
      <c r="A24" s="22">
        <v>44362</v>
      </c>
      <c r="B24" s="22"/>
      <c r="C24" s="24">
        <f>ROUND(97.0002153950431,2)</f>
        <v>97</v>
      </c>
      <c r="D24" s="24">
        <f>F24</f>
        <v>94.69</v>
      </c>
      <c r="E24" s="24">
        <f>F24</f>
        <v>94.69</v>
      </c>
      <c r="F24" s="24">
        <f>ROUND(94.6936069777768,2)</f>
        <v>94.69</v>
      </c>
      <c r="G24" s="24"/>
      <c r="H24" s="36"/>
    </row>
    <row r="25" spans="1:8" ht="12.75" customHeight="1">
      <c r="A25" s="22">
        <v>44460</v>
      </c>
      <c r="B25" s="22"/>
      <c r="C25" s="24">
        <f>ROUND(97.0002153950431,2)</f>
        <v>97</v>
      </c>
      <c r="D25" s="24">
        <f>F25</f>
        <v>94.87</v>
      </c>
      <c r="E25" s="24">
        <f>F25</f>
        <v>94.87</v>
      </c>
      <c r="F25" s="24">
        <f>ROUND(94.8746134792031,2)</f>
        <v>94.87</v>
      </c>
      <c r="G25" s="24"/>
      <c r="H25" s="36"/>
    </row>
    <row r="26" spans="1:8" ht="12.75" customHeight="1">
      <c r="A26" s="22">
        <v>44551</v>
      </c>
      <c r="B26" s="22"/>
      <c r="C26" s="24">
        <f>ROUND(97.0002153950431,2)</f>
        <v>97</v>
      </c>
      <c r="D26" s="24">
        <f>F26</f>
        <v>97.07</v>
      </c>
      <c r="E26" s="24">
        <f>F26</f>
        <v>97.07</v>
      </c>
      <c r="F26" s="24">
        <f>ROUND(97.0702081133659,2)</f>
        <v>97.07</v>
      </c>
      <c r="G26" s="24"/>
      <c r="H26" s="36"/>
    </row>
    <row r="27" spans="1:8" ht="12.75" customHeight="1">
      <c r="A27" s="22">
        <v>44635</v>
      </c>
      <c r="B27" s="22"/>
      <c r="C27" s="24">
        <f>ROUND(97.0002153950431,2)</f>
        <v>97</v>
      </c>
      <c r="D27" s="24">
        <f>F27</f>
        <v>97.21</v>
      </c>
      <c r="E27" s="24">
        <f>F27</f>
        <v>97.21</v>
      </c>
      <c r="F27" s="24">
        <f>ROUND(97.2072100616955,2)</f>
        <v>97.21</v>
      </c>
      <c r="G27" s="24"/>
      <c r="H27" s="36"/>
    </row>
    <row r="28" spans="1:8" ht="12.75" customHeight="1">
      <c r="A28" s="22">
        <v>44733</v>
      </c>
      <c r="B28" s="22"/>
      <c r="C28" s="24">
        <f>ROUND(97.0002153950431,2)</f>
        <v>97</v>
      </c>
      <c r="D28" s="24">
        <f>F28</f>
        <v>98.4</v>
      </c>
      <c r="E28" s="24">
        <f>F28</f>
        <v>98.4</v>
      </c>
      <c r="F28" s="24">
        <f>ROUND(98.3997630384396,2)</f>
        <v>98.4</v>
      </c>
      <c r="G28" s="24"/>
      <c r="H28" s="36"/>
    </row>
    <row r="29" spans="1:8" ht="12.75" customHeight="1">
      <c r="A29" s="22">
        <v>44824</v>
      </c>
      <c r="B29" s="22"/>
      <c r="C29" s="24">
        <f>ROUND(97.0002153950431,2)</f>
        <v>97</v>
      </c>
      <c r="D29" s="24">
        <f>F29</f>
        <v>100.6</v>
      </c>
      <c r="E29" s="24">
        <f>F29</f>
        <v>100.6</v>
      </c>
      <c r="F29" s="24">
        <f>ROUND(100.598859822699,2)</f>
        <v>100.6</v>
      </c>
      <c r="G29" s="24"/>
      <c r="H29" s="36"/>
    </row>
    <row r="30" spans="1:8" ht="12.75" customHeight="1">
      <c r="A30" s="22">
        <v>44915</v>
      </c>
      <c r="B30" s="22"/>
      <c r="C30" s="24">
        <f>ROUND(97.0002153950431,2)</f>
        <v>97</v>
      </c>
      <c r="D30" s="24">
        <f>F30</f>
        <v>101.86</v>
      </c>
      <c r="E30" s="24">
        <f>F30</f>
        <v>101.86</v>
      </c>
      <c r="F30" s="24">
        <f>ROUND(101.856245953915,2)</f>
        <v>101.86</v>
      </c>
      <c r="G30" s="24"/>
      <c r="H30" s="36"/>
    </row>
    <row r="31" spans="1:8" ht="12.75" customHeight="1">
      <c r="A31" s="22">
        <v>45007</v>
      </c>
      <c r="B31" s="22"/>
      <c r="C31" s="24">
        <f>ROUND(97.0002153950431,2)</f>
        <v>97</v>
      </c>
      <c r="D31" s="24">
        <f>F31</f>
        <v>97</v>
      </c>
      <c r="E31" s="24">
        <f>F31</f>
        <v>97</v>
      </c>
      <c r="F31" s="24">
        <f>ROUND(97.0002153950431,2)</f>
        <v>97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ROUND(97.3234166426938,2)</f>
        <v>97.32</v>
      </c>
      <c r="D33" s="24">
        <f>F33</f>
        <v>95.57</v>
      </c>
      <c r="E33" s="24">
        <f>F33</f>
        <v>95.57</v>
      </c>
      <c r="F33" s="24">
        <f>ROUND(95.5695584137986,2)</f>
        <v>95.57</v>
      </c>
      <c r="G33" s="24"/>
      <c r="H33" s="36"/>
    </row>
    <row r="34" spans="1:8" ht="12.75" customHeight="1">
      <c r="A34" s="22">
        <v>46097</v>
      </c>
      <c r="B34" s="22"/>
      <c r="C34" s="24">
        <f>ROUND(97.3234166426938,2)</f>
        <v>97.32</v>
      </c>
      <c r="D34" s="24">
        <f>F34</f>
        <v>92.62</v>
      </c>
      <c r="E34" s="24">
        <f>F34</f>
        <v>92.62</v>
      </c>
      <c r="F34" s="24">
        <f>ROUND(92.6166784517762,2)</f>
        <v>92.62</v>
      </c>
      <c r="G34" s="24"/>
      <c r="H34" s="36"/>
    </row>
    <row r="35" spans="1:8" ht="12.75" customHeight="1">
      <c r="A35" s="22">
        <v>46188</v>
      </c>
      <c r="B35" s="22"/>
      <c r="C35" s="24">
        <f>ROUND(97.3234166426938,2)</f>
        <v>97.32</v>
      </c>
      <c r="D35" s="24">
        <f>F35</f>
        <v>91.41</v>
      </c>
      <c r="E35" s="24">
        <f>F35</f>
        <v>91.41</v>
      </c>
      <c r="F35" s="24">
        <f>ROUND(91.4069279413758,2)</f>
        <v>91.41</v>
      </c>
      <c r="G35" s="24"/>
      <c r="H35" s="36"/>
    </row>
    <row r="36" spans="1:8" ht="12.75" customHeight="1">
      <c r="A36" s="22">
        <v>46286</v>
      </c>
      <c r="B36" s="22"/>
      <c r="C36" s="24">
        <f>ROUND(97.3234166426938,2)</f>
        <v>97.32</v>
      </c>
      <c r="D36" s="24">
        <f>F36</f>
        <v>93.6</v>
      </c>
      <c r="E36" s="24">
        <f>F36</f>
        <v>93.6</v>
      </c>
      <c r="F36" s="24">
        <f>ROUND(93.5971203499355,2)</f>
        <v>93.6</v>
      </c>
      <c r="G36" s="24"/>
      <c r="H36" s="36"/>
    </row>
    <row r="37" spans="1:8" ht="12.75" customHeight="1">
      <c r="A37" s="22">
        <v>46377</v>
      </c>
      <c r="B37" s="22"/>
      <c r="C37" s="24">
        <f>ROUND(97.3234166426938,2)</f>
        <v>97.32</v>
      </c>
      <c r="D37" s="24">
        <f>F37</f>
        <v>97.38</v>
      </c>
      <c r="E37" s="24">
        <f>F37</f>
        <v>97.38</v>
      </c>
      <c r="F37" s="24">
        <f>ROUND(97.3846596111666,2)</f>
        <v>97.38</v>
      </c>
      <c r="G37" s="24"/>
      <c r="H37" s="36"/>
    </row>
    <row r="38" spans="1:8" ht="12.75" customHeight="1">
      <c r="A38" s="22">
        <v>46461</v>
      </c>
      <c r="B38" s="22"/>
      <c r="C38" s="24">
        <f>ROUND(97.3234166426938,2)</f>
        <v>97.32</v>
      </c>
      <c r="D38" s="24">
        <f>F38</f>
        <v>95.96</v>
      </c>
      <c r="E38" s="24">
        <f>F38</f>
        <v>95.96</v>
      </c>
      <c r="F38" s="24">
        <f>ROUND(95.9629820111363,2)</f>
        <v>95.96</v>
      </c>
      <c r="G38" s="24"/>
      <c r="H38" s="36"/>
    </row>
    <row r="39" spans="1:8" ht="12.75" customHeight="1">
      <c r="A39" s="22">
        <v>46559</v>
      </c>
      <c r="B39" s="22"/>
      <c r="C39" s="24">
        <f>ROUND(97.3234166426938,2)</f>
        <v>97.32</v>
      </c>
      <c r="D39" s="24">
        <f>F39</f>
        <v>98.01</v>
      </c>
      <c r="E39" s="24">
        <f>F39</f>
        <v>98.01</v>
      </c>
      <c r="F39" s="24">
        <f>ROUND(98.0125120876452,2)</f>
        <v>98.01</v>
      </c>
      <c r="G39" s="24"/>
      <c r="H39" s="36"/>
    </row>
    <row r="40" spans="1:8" ht="12.75" customHeight="1">
      <c r="A40" s="22">
        <v>46650</v>
      </c>
      <c r="B40" s="22"/>
      <c r="C40" s="24">
        <f>ROUND(97.3234166426938,2)</f>
        <v>97.32</v>
      </c>
      <c r="D40" s="24">
        <f>F40</f>
        <v>101.7</v>
      </c>
      <c r="E40" s="24">
        <f>F40</f>
        <v>101.7</v>
      </c>
      <c r="F40" s="24">
        <f>ROUND(101.700033858472,2)</f>
        <v>101.7</v>
      </c>
      <c r="G40" s="24"/>
      <c r="H40" s="36"/>
    </row>
    <row r="41" spans="1:8" ht="12.75" customHeight="1">
      <c r="A41" s="22">
        <v>46741</v>
      </c>
      <c r="B41" s="22"/>
      <c r="C41" s="24">
        <f>ROUND(97.3234166426938,2)</f>
        <v>97.32</v>
      </c>
      <c r="D41" s="24">
        <f>F41</f>
        <v>102.04</v>
      </c>
      <c r="E41" s="24">
        <f>F41</f>
        <v>102.04</v>
      </c>
      <c r="F41" s="24">
        <f>ROUND(102.043108693804,2)</f>
        <v>102.04</v>
      </c>
      <c r="G41" s="24"/>
      <c r="H41" s="36"/>
    </row>
    <row r="42" spans="1:8" ht="12.75" customHeight="1">
      <c r="A42" s="22">
        <v>46834</v>
      </c>
      <c r="B42" s="22"/>
      <c r="C42" s="24">
        <f>ROUND(97.3234166426938,2)</f>
        <v>97.32</v>
      </c>
      <c r="D42" s="24">
        <f>F42</f>
        <v>97.32</v>
      </c>
      <c r="E42" s="24">
        <f>F42</f>
        <v>97.32</v>
      </c>
      <c r="F42" s="24">
        <f>ROUND(97.3234166426938,2)</f>
        <v>97.32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ROUND(2.58,5)</f>
        <v>2.58</v>
      </c>
      <c r="D44" s="26">
        <f>F44</f>
        <v>2.58</v>
      </c>
      <c r="E44" s="26">
        <f>F44</f>
        <v>2.58</v>
      </c>
      <c r="F44" s="26">
        <f>ROUND(2.58,5)</f>
        <v>2.58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ROUND(2.63,5)</f>
        <v>2.63</v>
      </c>
      <c r="D46" s="26">
        <f>F46</f>
        <v>2.63</v>
      </c>
      <c r="E46" s="26">
        <f>F46</f>
        <v>2.63</v>
      </c>
      <c r="F46" s="26">
        <f>ROUND(2.63,5)</f>
        <v>2.63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ROUND(2.75,5)</f>
        <v>2.75</v>
      </c>
      <c r="D48" s="26">
        <f>F48</f>
        <v>2.75</v>
      </c>
      <c r="E48" s="26">
        <f>F48</f>
        <v>2.75</v>
      </c>
      <c r="F48" s="26">
        <f>ROUND(2.75,5)</f>
        <v>2.75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ROUND(3.34,5)</f>
        <v>3.34</v>
      </c>
      <c r="D50" s="26">
        <f>F50</f>
        <v>3.34</v>
      </c>
      <c r="E50" s="26">
        <f>F50</f>
        <v>3.34</v>
      </c>
      <c r="F50" s="26">
        <f>ROUND(3.34,5)</f>
        <v>3.34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ROUND(10.82,5)</f>
        <v>10.82</v>
      </c>
      <c r="D52" s="26">
        <f>F52</f>
        <v>10.82</v>
      </c>
      <c r="E52" s="26">
        <f>F52</f>
        <v>10.82</v>
      </c>
      <c r="F52" s="26">
        <f>ROUND(10.82,5)</f>
        <v>10.82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ROUND(8.005,5)</f>
        <v>8.005</v>
      </c>
      <c r="D54" s="26">
        <f>F54</f>
        <v>8.005</v>
      </c>
      <c r="E54" s="26">
        <f>F54</f>
        <v>8.005</v>
      </c>
      <c r="F54" s="26">
        <f>ROUND(8.005,5)</f>
        <v>8.005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ROUND(8.7,3)</f>
        <v>8.7</v>
      </c>
      <c r="D56" s="27">
        <f>F56</f>
        <v>8.7</v>
      </c>
      <c r="E56" s="27">
        <f>F56</f>
        <v>8.7</v>
      </c>
      <c r="F56" s="27">
        <f>ROUND(8.7,3)</f>
        <v>8.7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ROUND(2.49,3)</f>
        <v>2.49</v>
      </c>
      <c r="D58" s="27">
        <f>F58</f>
        <v>2.49</v>
      </c>
      <c r="E58" s="27">
        <f>F58</f>
        <v>2.49</v>
      </c>
      <c r="F58" s="27">
        <f>ROUND(2.49,3)</f>
        <v>2.49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ROUND(2.73,3)</f>
        <v>2.73</v>
      </c>
      <c r="D60" s="27">
        <f>F60</f>
        <v>2.73</v>
      </c>
      <c r="E60" s="27">
        <f>F60</f>
        <v>2.73</v>
      </c>
      <c r="F60" s="27">
        <f>ROUND(2.73,3)</f>
        <v>2.73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ROUND(7.145,3)</f>
        <v>7.145</v>
      </c>
      <c r="D62" s="27">
        <f>F62</f>
        <v>7.145</v>
      </c>
      <c r="E62" s="27">
        <f>F62</f>
        <v>7.145</v>
      </c>
      <c r="F62" s="27">
        <f>ROUND(7.145,3)</f>
        <v>7.145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ROUND(7.385,3)</f>
        <v>7.385</v>
      </c>
      <c r="D64" s="27">
        <f>F64</f>
        <v>7.385</v>
      </c>
      <c r="E64" s="27">
        <f>F64</f>
        <v>7.385</v>
      </c>
      <c r="F64" s="27">
        <f>ROUND(7.385,3)</f>
        <v>7.385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ROUND(7.665,3)</f>
        <v>7.665</v>
      </c>
      <c r="D66" s="27">
        <f>F66</f>
        <v>7.665</v>
      </c>
      <c r="E66" s="27">
        <f>F66</f>
        <v>7.665</v>
      </c>
      <c r="F66" s="27">
        <f>ROUND(7.665,3)</f>
        <v>7.665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ROUND(9.58,3)</f>
        <v>9.58</v>
      </c>
      <c r="D68" s="27">
        <f>F68</f>
        <v>9.58</v>
      </c>
      <c r="E68" s="27">
        <f>F68</f>
        <v>9.58</v>
      </c>
      <c r="F68" s="27">
        <f>ROUND(9.58,3)</f>
        <v>9.58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ROUND(2.62,3)</f>
        <v>2.62</v>
      </c>
      <c r="D70" s="27">
        <f>F70</f>
        <v>2.62</v>
      </c>
      <c r="E70" s="27">
        <f>F70</f>
        <v>2.62</v>
      </c>
      <c r="F70" s="27">
        <f>ROUND(2.62,3)</f>
        <v>2.62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ROUND(2.46,3)</f>
        <v>2.46</v>
      </c>
      <c r="D72" s="27">
        <f>F72</f>
        <v>2.46</v>
      </c>
      <c r="E72" s="27">
        <f>F72</f>
        <v>2.46</v>
      </c>
      <c r="F72" s="27">
        <f>ROUND(2.46,3)</f>
        <v>2.46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ROUND(9.33,3)</f>
        <v>9.33</v>
      </c>
      <c r="D74" s="27">
        <f>F74</f>
        <v>9.33</v>
      </c>
      <c r="E74" s="27">
        <f>F74</f>
        <v>9.33</v>
      </c>
      <c r="F74" s="27">
        <f>ROUND(9.33,3)</f>
        <v>9.33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ROUND(2.58,5)</f>
        <v>2.58</v>
      </c>
      <c r="D76" s="26">
        <f>F76</f>
        <v>129.43247</v>
      </c>
      <c r="E76" s="26">
        <f>F76</f>
        <v>129.43247</v>
      </c>
      <c r="F76" s="26">
        <f>ROUND(129.43247,5)</f>
        <v>129.43247</v>
      </c>
      <c r="G76" s="24"/>
      <c r="H76" s="36"/>
    </row>
    <row r="77" spans="1:8" ht="12.75" customHeight="1">
      <c r="A77" s="22">
        <v>43223</v>
      </c>
      <c r="B77" s="22"/>
      <c r="C77" s="26">
        <f>ROUND(2.58,5)</f>
        <v>2.58</v>
      </c>
      <c r="D77" s="26">
        <f>F77</f>
        <v>131.85877</v>
      </c>
      <c r="E77" s="26">
        <f>F77</f>
        <v>131.85877</v>
      </c>
      <c r="F77" s="26">
        <f>ROUND(131.85877,5)</f>
        <v>131.85877</v>
      </c>
      <c r="G77" s="24"/>
      <c r="H77" s="36"/>
    </row>
    <row r="78" spans="1:8" ht="12.75" customHeight="1">
      <c r="A78" s="22">
        <v>43314</v>
      </c>
      <c r="B78" s="22"/>
      <c r="C78" s="26">
        <f>ROUND(2.58,5)</f>
        <v>2.58</v>
      </c>
      <c r="D78" s="26">
        <f>F78</f>
        <v>134.32065</v>
      </c>
      <c r="E78" s="26">
        <f>F78</f>
        <v>134.32065</v>
      </c>
      <c r="F78" s="26">
        <f>ROUND(134.32065,5)</f>
        <v>134.32065</v>
      </c>
      <c r="G78" s="24"/>
      <c r="H78" s="36"/>
    </row>
    <row r="79" spans="1:8" ht="12.75" customHeight="1">
      <c r="A79" s="22">
        <v>43405</v>
      </c>
      <c r="B79" s="22"/>
      <c r="C79" s="26">
        <f>ROUND(2.58,5)</f>
        <v>2.58</v>
      </c>
      <c r="D79" s="26">
        <f>F79</f>
        <v>136.96326</v>
      </c>
      <c r="E79" s="26">
        <f>F79</f>
        <v>136.96326</v>
      </c>
      <c r="F79" s="26">
        <f>ROUND(136.96326,5)</f>
        <v>136.96326</v>
      </c>
      <c r="G79" s="24"/>
      <c r="H79" s="36"/>
    </row>
    <row r="80" spans="1:8" ht="12.75" customHeight="1">
      <c r="A80" s="22">
        <v>43503</v>
      </c>
      <c r="B80" s="22"/>
      <c r="C80" s="26">
        <f>ROUND(2.58,5)</f>
        <v>2.58</v>
      </c>
      <c r="D80" s="26">
        <f>F80</f>
        <v>139.75431</v>
      </c>
      <c r="E80" s="26">
        <f>F80</f>
        <v>139.75431</v>
      </c>
      <c r="F80" s="26">
        <f>ROUND(139.75431,5)</f>
        <v>139.75431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ROUND(99.36903,5)</f>
        <v>99.36903</v>
      </c>
      <c r="D82" s="26">
        <f>F82</f>
        <v>100.15044</v>
      </c>
      <c r="E82" s="26">
        <f>F82</f>
        <v>100.15044</v>
      </c>
      <c r="F82" s="26">
        <f>ROUND(100.15044,5)</f>
        <v>100.15044</v>
      </c>
      <c r="G82" s="24"/>
      <c r="H82" s="36"/>
    </row>
    <row r="83" spans="1:8" ht="12.75" customHeight="1">
      <c r="A83" s="22">
        <v>43223</v>
      </c>
      <c r="B83" s="22"/>
      <c r="C83" s="26">
        <f>ROUND(99.36903,5)</f>
        <v>99.36903</v>
      </c>
      <c r="D83" s="26">
        <f>F83</f>
        <v>101.00978</v>
      </c>
      <c r="E83" s="26">
        <f>F83</f>
        <v>101.00978</v>
      </c>
      <c r="F83" s="26">
        <f>ROUND(101.00978,5)</f>
        <v>101.00978</v>
      </c>
      <c r="G83" s="24"/>
      <c r="H83" s="36"/>
    </row>
    <row r="84" spans="1:8" ht="12.75" customHeight="1">
      <c r="A84" s="22">
        <v>43314</v>
      </c>
      <c r="B84" s="22"/>
      <c r="C84" s="26">
        <f>ROUND(99.36903,5)</f>
        <v>99.36903</v>
      </c>
      <c r="D84" s="26">
        <f>F84</f>
        <v>102.92976</v>
      </c>
      <c r="E84" s="26">
        <f>F84</f>
        <v>102.92976</v>
      </c>
      <c r="F84" s="26">
        <f>ROUND(102.92976,5)</f>
        <v>102.92976</v>
      </c>
      <c r="G84" s="24"/>
      <c r="H84" s="36"/>
    </row>
    <row r="85" spans="1:8" ht="12.75" customHeight="1">
      <c r="A85" s="22">
        <v>43405</v>
      </c>
      <c r="B85" s="22"/>
      <c r="C85" s="26">
        <f>ROUND(99.36903,5)</f>
        <v>99.36903</v>
      </c>
      <c r="D85" s="26">
        <f>F85</f>
        <v>104.95483</v>
      </c>
      <c r="E85" s="26">
        <f>F85</f>
        <v>104.95483</v>
      </c>
      <c r="F85" s="26">
        <f>ROUND(104.95483,5)</f>
        <v>104.95483</v>
      </c>
      <c r="G85" s="24"/>
      <c r="H85" s="36"/>
    </row>
    <row r="86" spans="1:8" ht="12.75" customHeight="1">
      <c r="A86" s="22">
        <v>43503</v>
      </c>
      <c r="B86" s="22"/>
      <c r="C86" s="26">
        <f>ROUND(99.36903,5)</f>
        <v>99.36903</v>
      </c>
      <c r="D86" s="26">
        <f>F86</f>
        <v>107.09348</v>
      </c>
      <c r="E86" s="26">
        <f>F86</f>
        <v>107.09348</v>
      </c>
      <c r="F86" s="26">
        <f>ROUND(107.09348,5)</f>
        <v>107.09348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ROUND(9.275,5)</f>
        <v>9.275</v>
      </c>
      <c r="D88" s="26">
        <f>F88</f>
        <v>9.30073</v>
      </c>
      <c r="E88" s="26">
        <f>F88</f>
        <v>9.30073</v>
      </c>
      <c r="F88" s="26">
        <f>ROUND(9.30073,5)</f>
        <v>9.30073</v>
      </c>
      <c r="G88" s="24"/>
      <c r="H88" s="36"/>
    </row>
    <row r="89" spans="1:8" ht="12.75" customHeight="1">
      <c r="A89" s="22">
        <v>43223</v>
      </c>
      <c r="B89" s="22"/>
      <c r="C89" s="26">
        <f>ROUND(9.275,5)</f>
        <v>9.275</v>
      </c>
      <c r="D89" s="26">
        <f>F89</f>
        <v>9.36187</v>
      </c>
      <c r="E89" s="26">
        <f>F89</f>
        <v>9.36187</v>
      </c>
      <c r="F89" s="26">
        <f>ROUND(9.36187,5)</f>
        <v>9.36187</v>
      </c>
      <c r="G89" s="24"/>
      <c r="H89" s="36"/>
    </row>
    <row r="90" spans="1:8" ht="12.75" customHeight="1">
      <c r="A90" s="22">
        <v>43314</v>
      </c>
      <c r="B90" s="22"/>
      <c r="C90" s="26">
        <f>ROUND(9.275,5)</f>
        <v>9.275</v>
      </c>
      <c r="D90" s="26">
        <f>F90</f>
        <v>9.42457</v>
      </c>
      <c r="E90" s="26">
        <f>F90</f>
        <v>9.42457</v>
      </c>
      <c r="F90" s="26">
        <f>ROUND(9.42457,5)</f>
        <v>9.42457</v>
      </c>
      <c r="G90" s="24"/>
      <c r="H90" s="36"/>
    </row>
    <row r="91" spans="1:8" ht="12.75" customHeight="1">
      <c r="A91" s="22">
        <v>43405</v>
      </c>
      <c r="B91" s="22"/>
      <c r="C91" s="26">
        <f>ROUND(9.275,5)</f>
        <v>9.275</v>
      </c>
      <c r="D91" s="26">
        <f>F91</f>
        <v>9.47714</v>
      </c>
      <c r="E91" s="26">
        <f>F91</f>
        <v>9.47714</v>
      </c>
      <c r="F91" s="26">
        <f>ROUND(9.47714,5)</f>
        <v>9.47714</v>
      </c>
      <c r="G91" s="24"/>
      <c r="H91" s="36"/>
    </row>
    <row r="92" spans="1:8" ht="12.75" customHeight="1">
      <c r="A92" s="22">
        <v>43503</v>
      </c>
      <c r="B92" s="22"/>
      <c r="C92" s="26">
        <f>ROUND(9.275,5)</f>
        <v>9.275</v>
      </c>
      <c r="D92" s="26">
        <f>F92</f>
        <v>9.54516</v>
      </c>
      <c r="E92" s="26">
        <f>F92</f>
        <v>9.54516</v>
      </c>
      <c r="F92" s="26">
        <f>ROUND(9.54516,5)</f>
        <v>9.54516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ROUND(9.445,5)</f>
        <v>9.445</v>
      </c>
      <c r="D94" s="26">
        <f>F94</f>
        <v>9.47204</v>
      </c>
      <c r="E94" s="26">
        <f>F94</f>
        <v>9.47204</v>
      </c>
      <c r="F94" s="26">
        <f>ROUND(9.47204,5)</f>
        <v>9.47204</v>
      </c>
      <c r="G94" s="24"/>
      <c r="H94" s="36"/>
    </row>
    <row r="95" spans="1:8" ht="12.75" customHeight="1">
      <c r="A95" s="22">
        <v>43223</v>
      </c>
      <c r="B95" s="22"/>
      <c r="C95" s="26">
        <f>ROUND(9.445,5)</f>
        <v>9.445</v>
      </c>
      <c r="D95" s="26">
        <f>F95</f>
        <v>9.53241</v>
      </c>
      <c r="E95" s="26">
        <f>F95</f>
        <v>9.53241</v>
      </c>
      <c r="F95" s="26">
        <f>ROUND(9.53241,5)</f>
        <v>9.53241</v>
      </c>
      <c r="G95" s="24"/>
      <c r="H95" s="36"/>
    </row>
    <row r="96" spans="1:8" ht="12.75" customHeight="1">
      <c r="A96" s="22">
        <v>43314</v>
      </c>
      <c r="B96" s="22"/>
      <c r="C96" s="26">
        <f>ROUND(9.445,5)</f>
        <v>9.445</v>
      </c>
      <c r="D96" s="26">
        <f>F96</f>
        <v>9.59207</v>
      </c>
      <c r="E96" s="26">
        <f>F96</f>
        <v>9.59207</v>
      </c>
      <c r="F96" s="26">
        <f>ROUND(9.59207,5)</f>
        <v>9.59207</v>
      </c>
      <c r="G96" s="24"/>
      <c r="H96" s="36"/>
    </row>
    <row r="97" spans="1:8" ht="12.75" customHeight="1">
      <c r="A97" s="22">
        <v>43405</v>
      </c>
      <c r="B97" s="22"/>
      <c r="C97" s="26">
        <f>ROUND(9.445,5)</f>
        <v>9.445</v>
      </c>
      <c r="D97" s="26">
        <f>F97</f>
        <v>9.6488</v>
      </c>
      <c r="E97" s="26">
        <f>F97</f>
        <v>9.6488</v>
      </c>
      <c r="F97" s="26">
        <f>ROUND(9.6488,5)</f>
        <v>9.6488</v>
      </c>
      <c r="G97" s="24"/>
      <c r="H97" s="36"/>
    </row>
    <row r="98" spans="1:8" ht="12.75" customHeight="1">
      <c r="A98" s="22">
        <v>43503</v>
      </c>
      <c r="B98" s="22"/>
      <c r="C98" s="26">
        <f>ROUND(9.445,5)</f>
        <v>9.445</v>
      </c>
      <c r="D98" s="26">
        <f>F98</f>
        <v>9.71981</v>
      </c>
      <c r="E98" s="26">
        <f>F98</f>
        <v>9.71981</v>
      </c>
      <c r="F98" s="26">
        <f>ROUND(9.71981,5)</f>
        <v>9.71981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ROUND(103.67411,5)</f>
        <v>103.67411</v>
      </c>
      <c r="D100" s="26">
        <f>F100</f>
        <v>104.48948</v>
      </c>
      <c r="E100" s="26">
        <f>F100</f>
        <v>104.48948</v>
      </c>
      <c r="F100" s="26">
        <f>ROUND(104.48948,5)</f>
        <v>104.48948</v>
      </c>
      <c r="G100" s="24"/>
      <c r="H100" s="36"/>
    </row>
    <row r="101" spans="1:8" ht="12.75" customHeight="1">
      <c r="A101" s="22">
        <v>43223</v>
      </c>
      <c r="B101" s="22"/>
      <c r="C101" s="26">
        <f>ROUND(103.67411,5)</f>
        <v>103.67411</v>
      </c>
      <c r="D101" s="26">
        <f>F101</f>
        <v>105.36009</v>
      </c>
      <c r="E101" s="26">
        <f>F101</f>
        <v>105.36009</v>
      </c>
      <c r="F101" s="26">
        <f>ROUND(105.36009,5)</f>
        <v>105.36009</v>
      </c>
      <c r="G101" s="24"/>
      <c r="H101" s="36"/>
    </row>
    <row r="102" spans="1:8" ht="12.75" customHeight="1">
      <c r="A102" s="22">
        <v>43314</v>
      </c>
      <c r="B102" s="22"/>
      <c r="C102" s="26">
        <f>ROUND(103.67411,5)</f>
        <v>103.67411</v>
      </c>
      <c r="D102" s="26">
        <f>F102</f>
        <v>107.36282</v>
      </c>
      <c r="E102" s="26">
        <f>F102</f>
        <v>107.36282</v>
      </c>
      <c r="F102" s="26">
        <f>ROUND(107.36282,5)</f>
        <v>107.36282</v>
      </c>
      <c r="G102" s="24"/>
      <c r="H102" s="36"/>
    </row>
    <row r="103" spans="1:8" ht="12.75" customHeight="1">
      <c r="A103" s="22">
        <v>43405</v>
      </c>
      <c r="B103" s="22"/>
      <c r="C103" s="26">
        <f>ROUND(103.67411,5)</f>
        <v>103.67411</v>
      </c>
      <c r="D103" s="26">
        <f>F103</f>
        <v>109.47508</v>
      </c>
      <c r="E103" s="26">
        <f>F103</f>
        <v>109.47508</v>
      </c>
      <c r="F103" s="26">
        <f>ROUND(109.47508,5)</f>
        <v>109.47508</v>
      </c>
      <c r="G103" s="24"/>
      <c r="H103" s="36"/>
    </row>
    <row r="104" spans="1:8" ht="12.75" customHeight="1">
      <c r="A104" s="22">
        <v>43503</v>
      </c>
      <c r="B104" s="22"/>
      <c r="C104" s="26">
        <f>ROUND(103.67411,5)</f>
        <v>103.67411</v>
      </c>
      <c r="D104" s="26">
        <f>F104</f>
        <v>111.70591</v>
      </c>
      <c r="E104" s="26">
        <f>F104</f>
        <v>111.70591</v>
      </c>
      <c r="F104" s="26">
        <f>ROUND(111.70591,5)</f>
        <v>111.70591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ROUND(9.74,5)</f>
        <v>9.74</v>
      </c>
      <c r="D106" s="26">
        <f>F106</f>
        <v>9.76719</v>
      </c>
      <c r="E106" s="26">
        <f>F106</f>
        <v>9.76719</v>
      </c>
      <c r="F106" s="26">
        <f>ROUND(9.76719,5)</f>
        <v>9.76719</v>
      </c>
      <c r="G106" s="24"/>
      <c r="H106" s="36"/>
    </row>
    <row r="107" spans="1:8" ht="12.75" customHeight="1">
      <c r="A107" s="22">
        <v>43223</v>
      </c>
      <c r="B107" s="22"/>
      <c r="C107" s="26">
        <f>ROUND(9.74,5)</f>
        <v>9.74</v>
      </c>
      <c r="D107" s="26">
        <f>F107</f>
        <v>9.83126</v>
      </c>
      <c r="E107" s="26">
        <f>F107</f>
        <v>9.83126</v>
      </c>
      <c r="F107" s="26">
        <f>ROUND(9.83126,5)</f>
        <v>9.83126</v>
      </c>
      <c r="G107" s="24"/>
      <c r="H107" s="36"/>
    </row>
    <row r="108" spans="1:8" ht="12.75" customHeight="1">
      <c r="A108" s="22">
        <v>43314</v>
      </c>
      <c r="B108" s="22"/>
      <c r="C108" s="26">
        <f>ROUND(9.74,5)</f>
        <v>9.74</v>
      </c>
      <c r="D108" s="26">
        <f>F108</f>
        <v>9.89683</v>
      </c>
      <c r="E108" s="26">
        <f>F108</f>
        <v>9.89683</v>
      </c>
      <c r="F108" s="26">
        <f>ROUND(9.89683,5)</f>
        <v>9.89683</v>
      </c>
      <c r="G108" s="24"/>
      <c r="H108" s="36"/>
    </row>
    <row r="109" spans="1:8" ht="12.75" customHeight="1">
      <c r="A109" s="22">
        <v>43405</v>
      </c>
      <c r="B109" s="22"/>
      <c r="C109" s="26">
        <f>ROUND(9.74,5)</f>
        <v>9.74</v>
      </c>
      <c r="D109" s="26">
        <f>F109</f>
        <v>9.95336</v>
      </c>
      <c r="E109" s="26">
        <f>F109</f>
        <v>9.95336</v>
      </c>
      <c r="F109" s="26">
        <f>ROUND(9.95336,5)</f>
        <v>9.95336</v>
      </c>
      <c r="G109" s="24"/>
      <c r="H109" s="36"/>
    </row>
    <row r="110" spans="1:8" ht="12.75" customHeight="1">
      <c r="A110" s="22">
        <v>43503</v>
      </c>
      <c r="B110" s="22"/>
      <c r="C110" s="26">
        <f>ROUND(9.74,5)</f>
        <v>9.74</v>
      </c>
      <c r="D110" s="26">
        <f>F110</f>
        <v>10.0239</v>
      </c>
      <c r="E110" s="26">
        <f>F110</f>
        <v>10.0239</v>
      </c>
      <c r="F110" s="26">
        <f>ROUND(10.0239,5)</f>
        <v>10.0239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ROUND(2.63,5)</f>
        <v>2.63</v>
      </c>
      <c r="D112" s="26">
        <f>F112</f>
        <v>126.48655</v>
      </c>
      <c r="E112" s="26">
        <f>F112</f>
        <v>126.48655</v>
      </c>
      <c r="F112" s="26">
        <f>ROUND(126.48655,5)</f>
        <v>126.48655</v>
      </c>
      <c r="G112" s="24"/>
      <c r="H112" s="36"/>
    </row>
    <row r="113" spans="1:8" ht="12.75" customHeight="1">
      <c r="A113" s="22">
        <v>43223</v>
      </c>
      <c r="B113" s="22"/>
      <c r="C113" s="26">
        <f>ROUND(2.63,5)</f>
        <v>2.63</v>
      </c>
      <c r="D113" s="26">
        <f>F113</f>
        <v>128.85758</v>
      </c>
      <c r="E113" s="26">
        <f>F113</f>
        <v>128.85758</v>
      </c>
      <c r="F113" s="26">
        <f>ROUND(128.85758,5)</f>
        <v>128.85758</v>
      </c>
      <c r="G113" s="24"/>
      <c r="H113" s="36"/>
    </row>
    <row r="114" spans="1:8" ht="12.75" customHeight="1">
      <c r="A114" s="22">
        <v>43314</v>
      </c>
      <c r="B114" s="22"/>
      <c r="C114" s="26">
        <f>ROUND(2.63,5)</f>
        <v>2.63</v>
      </c>
      <c r="D114" s="26">
        <f>F114</f>
        <v>131.25694</v>
      </c>
      <c r="E114" s="26">
        <f>F114</f>
        <v>131.25694</v>
      </c>
      <c r="F114" s="26">
        <f>ROUND(131.25694,5)</f>
        <v>131.25694</v>
      </c>
      <c r="G114" s="24"/>
      <c r="H114" s="36"/>
    </row>
    <row r="115" spans="1:8" ht="12.75" customHeight="1">
      <c r="A115" s="22">
        <v>43405</v>
      </c>
      <c r="B115" s="22"/>
      <c r="C115" s="26">
        <f>ROUND(2.63,5)</f>
        <v>2.63</v>
      </c>
      <c r="D115" s="26">
        <f>F115</f>
        <v>133.83928</v>
      </c>
      <c r="E115" s="26">
        <f>F115</f>
        <v>133.83928</v>
      </c>
      <c r="F115" s="26">
        <f>ROUND(133.83928,5)</f>
        <v>133.83928</v>
      </c>
      <c r="G115" s="24"/>
      <c r="H115" s="36"/>
    </row>
    <row r="116" spans="1:8" ht="12.75" customHeight="1">
      <c r="A116" s="22">
        <v>43503</v>
      </c>
      <c r="B116" s="22"/>
      <c r="C116" s="26">
        <f>ROUND(2.63,5)</f>
        <v>2.63</v>
      </c>
      <c r="D116" s="26">
        <f>F116</f>
        <v>136.56665</v>
      </c>
      <c r="E116" s="26">
        <f>F116</f>
        <v>136.56665</v>
      </c>
      <c r="F116" s="26">
        <f>ROUND(136.56665,5)</f>
        <v>136.56665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ROUND(9.825,5)</f>
        <v>9.825</v>
      </c>
      <c r="D118" s="26">
        <f>F118</f>
        <v>9.85239</v>
      </c>
      <c r="E118" s="26">
        <f>F118</f>
        <v>9.85239</v>
      </c>
      <c r="F118" s="26">
        <f>ROUND(9.85239,5)</f>
        <v>9.85239</v>
      </c>
      <c r="G118" s="24"/>
      <c r="H118" s="36"/>
    </row>
    <row r="119" spans="1:8" ht="12.75" customHeight="1">
      <c r="A119" s="22">
        <v>43223</v>
      </c>
      <c r="B119" s="22"/>
      <c r="C119" s="26">
        <f>ROUND(9.825,5)</f>
        <v>9.825</v>
      </c>
      <c r="D119" s="26">
        <f>F119</f>
        <v>9.91684</v>
      </c>
      <c r="E119" s="26">
        <f>F119</f>
        <v>9.91684</v>
      </c>
      <c r="F119" s="26">
        <f>ROUND(9.91684,5)</f>
        <v>9.91684</v>
      </c>
      <c r="G119" s="24"/>
      <c r="H119" s="36"/>
    </row>
    <row r="120" spans="1:8" ht="12.75" customHeight="1">
      <c r="A120" s="22">
        <v>43314</v>
      </c>
      <c r="B120" s="22"/>
      <c r="C120" s="26">
        <f>ROUND(9.825,5)</f>
        <v>9.825</v>
      </c>
      <c r="D120" s="26">
        <f>F120</f>
        <v>9.98279</v>
      </c>
      <c r="E120" s="26">
        <f>F120</f>
        <v>9.98279</v>
      </c>
      <c r="F120" s="26">
        <f>ROUND(9.98279,5)</f>
        <v>9.98279</v>
      </c>
      <c r="G120" s="24"/>
      <c r="H120" s="36"/>
    </row>
    <row r="121" spans="1:8" ht="12.75" customHeight="1">
      <c r="A121" s="22">
        <v>43405</v>
      </c>
      <c r="B121" s="22"/>
      <c r="C121" s="26">
        <f>ROUND(9.825,5)</f>
        <v>9.825</v>
      </c>
      <c r="D121" s="26">
        <f>F121</f>
        <v>10.03985</v>
      </c>
      <c r="E121" s="26">
        <f>F121</f>
        <v>10.03985</v>
      </c>
      <c r="F121" s="26">
        <f>ROUND(10.03985,5)</f>
        <v>10.03985</v>
      </c>
      <c r="G121" s="24"/>
      <c r="H121" s="36"/>
    </row>
    <row r="122" spans="1:8" ht="12.75" customHeight="1">
      <c r="A122" s="22">
        <v>43503</v>
      </c>
      <c r="B122" s="22"/>
      <c r="C122" s="26">
        <f>ROUND(9.825,5)</f>
        <v>9.825</v>
      </c>
      <c r="D122" s="26">
        <f>F122</f>
        <v>10.1107</v>
      </c>
      <c r="E122" s="26">
        <f>F122</f>
        <v>10.1107</v>
      </c>
      <c r="F122" s="26">
        <f>ROUND(10.1107,5)</f>
        <v>10.1107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ROUND(9.87,5)</f>
        <v>9.87</v>
      </c>
      <c r="D124" s="26">
        <f>F124</f>
        <v>9.89677</v>
      </c>
      <c r="E124" s="26">
        <f>F124</f>
        <v>9.89677</v>
      </c>
      <c r="F124" s="26">
        <f>ROUND(9.89677,5)</f>
        <v>9.89677</v>
      </c>
      <c r="G124" s="24"/>
      <c r="H124" s="36"/>
    </row>
    <row r="125" spans="1:8" ht="12.75" customHeight="1">
      <c r="A125" s="22">
        <v>43223</v>
      </c>
      <c r="B125" s="22"/>
      <c r="C125" s="26">
        <f>ROUND(9.87,5)</f>
        <v>9.87</v>
      </c>
      <c r="D125" s="26">
        <f>F125</f>
        <v>9.9597</v>
      </c>
      <c r="E125" s="26">
        <f>F125</f>
        <v>9.9597</v>
      </c>
      <c r="F125" s="26">
        <f>ROUND(9.9597,5)</f>
        <v>9.9597</v>
      </c>
      <c r="G125" s="24"/>
      <c r="H125" s="36"/>
    </row>
    <row r="126" spans="1:8" ht="12.75" customHeight="1">
      <c r="A126" s="22">
        <v>43314</v>
      </c>
      <c r="B126" s="22"/>
      <c r="C126" s="26">
        <f>ROUND(9.87,5)</f>
        <v>9.87</v>
      </c>
      <c r="D126" s="26">
        <f>F126</f>
        <v>10.02402</v>
      </c>
      <c r="E126" s="26">
        <f>F126</f>
        <v>10.02402</v>
      </c>
      <c r="F126" s="26">
        <f>ROUND(10.02402,5)</f>
        <v>10.02402</v>
      </c>
      <c r="G126" s="24"/>
      <c r="H126" s="36"/>
    </row>
    <row r="127" spans="1:8" ht="12.75" customHeight="1">
      <c r="A127" s="22">
        <v>43405</v>
      </c>
      <c r="B127" s="22"/>
      <c r="C127" s="26">
        <f>ROUND(9.87,5)</f>
        <v>9.87</v>
      </c>
      <c r="D127" s="26">
        <f>F127</f>
        <v>10.07969</v>
      </c>
      <c r="E127" s="26">
        <f>F127</f>
        <v>10.07969</v>
      </c>
      <c r="F127" s="26">
        <f>ROUND(10.07969,5)</f>
        <v>10.07969</v>
      </c>
      <c r="G127" s="24"/>
      <c r="H127" s="36"/>
    </row>
    <row r="128" spans="1:8" ht="12.75" customHeight="1">
      <c r="A128" s="22">
        <v>43503</v>
      </c>
      <c r="B128" s="22"/>
      <c r="C128" s="26">
        <f>ROUND(9.87,5)</f>
        <v>9.87</v>
      </c>
      <c r="D128" s="26">
        <f>F128</f>
        <v>10.14858</v>
      </c>
      <c r="E128" s="26">
        <f>F128</f>
        <v>10.14858</v>
      </c>
      <c r="F128" s="26">
        <f>ROUND(10.14858,5)</f>
        <v>10.14858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ROUND(121.30552,5)</f>
        <v>121.30552</v>
      </c>
      <c r="D130" s="26">
        <f>F130</f>
        <v>122.25939</v>
      </c>
      <c r="E130" s="26">
        <f>F130</f>
        <v>122.25939</v>
      </c>
      <c r="F130" s="26">
        <f>ROUND(122.25939,5)</f>
        <v>122.25939</v>
      </c>
      <c r="G130" s="24"/>
      <c r="H130" s="36"/>
    </row>
    <row r="131" spans="1:8" ht="12.75" customHeight="1">
      <c r="A131" s="22">
        <v>43223</v>
      </c>
      <c r="B131" s="22"/>
      <c r="C131" s="26">
        <f>ROUND(121.30552,5)</f>
        <v>121.30552</v>
      </c>
      <c r="D131" s="26">
        <f>F131</f>
        <v>122.95149</v>
      </c>
      <c r="E131" s="26">
        <f>F131</f>
        <v>122.95149</v>
      </c>
      <c r="F131" s="26">
        <f>ROUND(122.95149,5)</f>
        <v>122.95149</v>
      </c>
      <c r="G131" s="24"/>
      <c r="H131" s="36"/>
    </row>
    <row r="132" spans="1:8" ht="12.75" customHeight="1">
      <c r="A132" s="22">
        <v>43314</v>
      </c>
      <c r="B132" s="22"/>
      <c r="C132" s="26">
        <f>ROUND(121.30552,5)</f>
        <v>121.30552</v>
      </c>
      <c r="D132" s="26">
        <f>F132</f>
        <v>125.28862</v>
      </c>
      <c r="E132" s="26">
        <f>F132</f>
        <v>125.28862</v>
      </c>
      <c r="F132" s="26">
        <f>ROUND(125.28862,5)</f>
        <v>125.28862</v>
      </c>
      <c r="G132" s="24"/>
      <c r="H132" s="36"/>
    </row>
    <row r="133" spans="1:8" ht="12.75" customHeight="1">
      <c r="A133" s="22">
        <v>43405</v>
      </c>
      <c r="B133" s="22"/>
      <c r="C133" s="26">
        <f>ROUND(121.30552,5)</f>
        <v>121.30552</v>
      </c>
      <c r="D133" s="26">
        <f>F133</f>
        <v>127.75361</v>
      </c>
      <c r="E133" s="26">
        <f>F133</f>
        <v>127.75361</v>
      </c>
      <c r="F133" s="26">
        <f>ROUND(127.75361,5)</f>
        <v>127.75361</v>
      </c>
      <c r="G133" s="24"/>
      <c r="H133" s="36"/>
    </row>
    <row r="134" spans="1:8" ht="12.75" customHeight="1">
      <c r="A134" s="22">
        <v>43503</v>
      </c>
      <c r="B134" s="22"/>
      <c r="C134" s="26">
        <f>ROUND(121.30552,5)</f>
        <v>121.30552</v>
      </c>
      <c r="D134" s="26">
        <f>F134</f>
        <v>130.35674</v>
      </c>
      <c r="E134" s="26">
        <f>F134</f>
        <v>130.35674</v>
      </c>
      <c r="F134" s="26">
        <f>ROUND(130.35674,5)</f>
        <v>130.35674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ROUND(2.75,5)</f>
        <v>2.75</v>
      </c>
      <c r="D136" s="26">
        <f>F136</f>
        <v>127.29374</v>
      </c>
      <c r="E136" s="26">
        <f>F136</f>
        <v>127.29374</v>
      </c>
      <c r="F136" s="26">
        <f>ROUND(127.29374,5)</f>
        <v>127.29374</v>
      </c>
      <c r="G136" s="24"/>
      <c r="H136" s="36"/>
    </row>
    <row r="137" spans="1:8" ht="12.75" customHeight="1">
      <c r="A137" s="22">
        <v>43223</v>
      </c>
      <c r="B137" s="22"/>
      <c r="C137" s="26">
        <f>ROUND(2.75,5)</f>
        <v>2.75</v>
      </c>
      <c r="D137" s="26">
        <f>F137</f>
        <v>129.6798</v>
      </c>
      <c r="E137" s="26">
        <f>F137</f>
        <v>129.6798</v>
      </c>
      <c r="F137" s="26">
        <f>ROUND(129.6798,5)</f>
        <v>129.6798</v>
      </c>
      <c r="G137" s="24"/>
      <c r="H137" s="36"/>
    </row>
    <row r="138" spans="1:8" ht="12.75" customHeight="1">
      <c r="A138" s="22">
        <v>43314</v>
      </c>
      <c r="B138" s="22"/>
      <c r="C138" s="26">
        <f>ROUND(2.75,5)</f>
        <v>2.75</v>
      </c>
      <c r="D138" s="26">
        <f>F138</f>
        <v>130.41157</v>
      </c>
      <c r="E138" s="26">
        <f>F138</f>
        <v>130.41157</v>
      </c>
      <c r="F138" s="26">
        <f>ROUND(130.41157,5)</f>
        <v>130.41157</v>
      </c>
      <c r="G138" s="24"/>
      <c r="H138" s="36"/>
    </row>
    <row r="139" spans="1:8" ht="12.75" customHeight="1">
      <c r="A139" s="22">
        <v>43405</v>
      </c>
      <c r="B139" s="22"/>
      <c r="C139" s="26">
        <f>ROUND(2.75,5)</f>
        <v>2.75</v>
      </c>
      <c r="D139" s="26">
        <f>F139</f>
        <v>132.97748</v>
      </c>
      <c r="E139" s="26">
        <f>F139</f>
        <v>132.97748</v>
      </c>
      <c r="F139" s="26">
        <f>ROUND(132.97748,5)</f>
        <v>132.97748</v>
      </c>
      <c r="G139" s="24"/>
      <c r="H139" s="36"/>
    </row>
    <row r="140" spans="1:8" ht="12.75" customHeight="1">
      <c r="A140" s="22">
        <v>43503</v>
      </c>
      <c r="B140" s="22"/>
      <c r="C140" s="26">
        <f>ROUND(2.75,5)</f>
        <v>2.75</v>
      </c>
      <c r="D140" s="26">
        <f>F140</f>
        <v>135.68663</v>
      </c>
      <c r="E140" s="26">
        <f>F140</f>
        <v>135.68663</v>
      </c>
      <c r="F140" s="26">
        <f>ROUND(135.68663,5)</f>
        <v>135.68663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ROUND(3.34,5)</f>
        <v>3.34</v>
      </c>
      <c r="D142" s="26">
        <f>F142</f>
        <v>128.11526</v>
      </c>
      <c r="E142" s="26">
        <f>F142</f>
        <v>128.11526</v>
      </c>
      <c r="F142" s="26">
        <f>ROUND(128.11526,5)</f>
        <v>128.11526</v>
      </c>
      <c r="G142" s="24"/>
      <c r="H142" s="36"/>
    </row>
    <row r="143" spans="1:8" ht="12.75" customHeight="1">
      <c r="A143" s="22">
        <v>43223</v>
      </c>
      <c r="B143" s="22"/>
      <c r="C143" s="26">
        <f>ROUND(3.34,5)</f>
        <v>3.34</v>
      </c>
      <c r="D143" s="26">
        <f>F143</f>
        <v>128.75729</v>
      </c>
      <c r="E143" s="26">
        <f>F143</f>
        <v>128.75729</v>
      </c>
      <c r="F143" s="26">
        <f>ROUND(128.75729,5)</f>
        <v>128.75729</v>
      </c>
      <c r="G143" s="24"/>
      <c r="H143" s="36"/>
    </row>
    <row r="144" spans="1:8" ht="12.75" customHeight="1">
      <c r="A144" s="22">
        <v>43314</v>
      </c>
      <c r="B144" s="22"/>
      <c r="C144" s="26">
        <f>ROUND(3.34,5)</f>
        <v>3.34</v>
      </c>
      <c r="D144" s="26">
        <f>F144</f>
        <v>131.20466</v>
      </c>
      <c r="E144" s="26">
        <f>F144</f>
        <v>131.20466</v>
      </c>
      <c r="F144" s="26">
        <f>ROUND(131.20466,5)</f>
        <v>131.20466</v>
      </c>
      <c r="G144" s="24"/>
      <c r="H144" s="36"/>
    </row>
    <row r="145" spans="1:8" ht="12.75" customHeight="1">
      <c r="A145" s="22">
        <v>43405</v>
      </c>
      <c r="B145" s="22"/>
      <c r="C145" s="26">
        <f>ROUND(3.34,5)</f>
        <v>3.34</v>
      </c>
      <c r="D145" s="26">
        <f>F145</f>
        <v>133.7861</v>
      </c>
      <c r="E145" s="26">
        <f>F145</f>
        <v>133.7861</v>
      </c>
      <c r="F145" s="26">
        <f>ROUND(133.7861,5)</f>
        <v>133.7861</v>
      </c>
      <c r="G145" s="24"/>
      <c r="H145" s="36"/>
    </row>
    <row r="146" spans="1:8" ht="12.75" customHeight="1">
      <c r="A146" s="22">
        <v>43503</v>
      </c>
      <c r="B146" s="22"/>
      <c r="C146" s="26">
        <f>ROUND(3.34,5)</f>
        <v>3.34</v>
      </c>
      <c r="D146" s="26">
        <f>F146</f>
        <v>136.51198</v>
      </c>
      <c r="E146" s="26">
        <f>F146</f>
        <v>136.51198</v>
      </c>
      <c r="F146" s="26">
        <f>ROUND(136.51198,5)</f>
        <v>136.51198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ROUND(10.82,5)</f>
        <v>10.82</v>
      </c>
      <c r="D148" s="26">
        <f>F148</f>
        <v>10.86588</v>
      </c>
      <c r="E148" s="26">
        <f>F148</f>
        <v>10.86588</v>
      </c>
      <c r="F148" s="26">
        <f>ROUND(10.86588,5)</f>
        <v>10.86588</v>
      </c>
      <c r="G148" s="24"/>
      <c r="H148" s="36"/>
    </row>
    <row r="149" spans="1:8" ht="12.75" customHeight="1">
      <c r="A149" s="22">
        <v>43223</v>
      </c>
      <c r="B149" s="22"/>
      <c r="C149" s="26">
        <f>ROUND(10.82,5)</f>
        <v>10.82</v>
      </c>
      <c r="D149" s="26">
        <f>F149</f>
        <v>10.96781</v>
      </c>
      <c r="E149" s="26">
        <f>F149</f>
        <v>10.96781</v>
      </c>
      <c r="F149" s="26">
        <f>ROUND(10.96781,5)</f>
        <v>10.96781</v>
      </c>
      <c r="G149" s="24"/>
      <c r="H149" s="36"/>
    </row>
    <row r="150" spans="1:8" ht="12.75" customHeight="1">
      <c r="A150" s="22">
        <v>43314</v>
      </c>
      <c r="B150" s="22"/>
      <c r="C150" s="26">
        <f>ROUND(10.82,5)</f>
        <v>10.82</v>
      </c>
      <c r="D150" s="26">
        <f>F150</f>
        <v>11.06994</v>
      </c>
      <c r="E150" s="26">
        <f>F150</f>
        <v>11.06994</v>
      </c>
      <c r="F150" s="26">
        <f>ROUND(11.06994,5)</f>
        <v>11.06994</v>
      </c>
      <c r="G150" s="24"/>
      <c r="H150" s="36"/>
    </row>
    <row r="151" spans="1:8" ht="12.75" customHeight="1">
      <c r="A151" s="22">
        <v>43405</v>
      </c>
      <c r="B151" s="22"/>
      <c r="C151" s="26">
        <f>ROUND(10.82,5)</f>
        <v>10.82</v>
      </c>
      <c r="D151" s="26">
        <f>F151</f>
        <v>11.17292</v>
      </c>
      <c r="E151" s="26">
        <f>F151</f>
        <v>11.17292</v>
      </c>
      <c r="F151" s="26">
        <f>ROUND(11.17292,5)</f>
        <v>11.17292</v>
      </c>
      <c r="G151" s="24"/>
      <c r="H151" s="36"/>
    </row>
    <row r="152" spans="1:8" ht="12.75" customHeight="1">
      <c r="A152" s="22">
        <v>43503</v>
      </c>
      <c r="B152" s="22"/>
      <c r="C152" s="26">
        <f>ROUND(10.82,5)</f>
        <v>10.82</v>
      </c>
      <c r="D152" s="26">
        <f>F152</f>
        <v>11.29828</v>
      </c>
      <c r="E152" s="26">
        <f>F152</f>
        <v>11.29828</v>
      </c>
      <c r="F152" s="26">
        <f>ROUND(11.29828,5)</f>
        <v>11.29828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ROUND(11.095,5)</f>
        <v>11.095</v>
      </c>
      <c r="D154" s="26">
        <f>F154</f>
        <v>11.13975</v>
      </c>
      <c r="E154" s="26">
        <f>F154</f>
        <v>11.13975</v>
      </c>
      <c r="F154" s="26">
        <f>ROUND(11.13975,5)</f>
        <v>11.13975</v>
      </c>
      <c r="G154" s="24"/>
      <c r="H154" s="36"/>
    </row>
    <row r="155" spans="1:8" ht="12.75" customHeight="1">
      <c r="A155" s="22">
        <v>43223</v>
      </c>
      <c r="B155" s="22"/>
      <c r="C155" s="26">
        <f>ROUND(11.095,5)</f>
        <v>11.095</v>
      </c>
      <c r="D155" s="26">
        <f>F155</f>
        <v>11.24441</v>
      </c>
      <c r="E155" s="26">
        <f>F155</f>
        <v>11.24441</v>
      </c>
      <c r="F155" s="26">
        <f>ROUND(11.24441,5)</f>
        <v>11.24441</v>
      </c>
      <c r="G155" s="24"/>
      <c r="H155" s="36"/>
    </row>
    <row r="156" spans="1:8" ht="12.75" customHeight="1">
      <c r="A156" s="22">
        <v>43314</v>
      </c>
      <c r="B156" s="22"/>
      <c r="C156" s="26">
        <f>ROUND(11.095,5)</f>
        <v>11.095</v>
      </c>
      <c r="D156" s="26">
        <f>F156</f>
        <v>11.3475</v>
      </c>
      <c r="E156" s="26">
        <f>F156</f>
        <v>11.3475</v>
      </c>
      <c r="F156" s="26">
        <f>ROUND(11.3475,5)</f>
        <v>11.3475</v>
      </c>
      <c r="G156" s="24"/>
      <c r="H156" s="36"/>
    </row>
    <row r="157" spans="1:8" ht="12.75" customHeight="1">
      <c r="A157" s="22">
        <v>43405</v>
      </c>
      <c r="B157" s="22"/>
      <c r="C157" s="26">
        <f>ROUND(11.095,5)</f>
        <v>11.095</v>
      </c>
      <c r="D157" s="26">
        <f>F157</f>
        <v>11.45084</v>
      </c>
      <c r="E157" s="26">
        <f>F157</f>
        <v>11.45084</v>
      </c>
      <c r="F157" s="26">
        <f>ROUND(11.45084,5)</f>
        <v>11.45084</v>
      </c>
      <c r="G157" s="24"/>
      <c r="H157" s="36"/>
    </row>
    <row r="158" spans="1:8" ht="12.75" customHeight="1">
      <c r="A158" s="22">
        <v>43503</v>
      </c>
      <c r="B158" s="22"/>
      <c r="C158" s="26">
        <f>ROUND(11.095,5)</f>
        <v>11.095</v>
      </c>
      <c r="D158" s="26">
        <f>F158</f>
        <v>11.57186</v>
      </c>
      <c r="E158" s="26">
        <f>F158</f>
        <v>11.57186</v>
      </c>
      <c r="F158" s="26">
        <f>ROUND(11.57186,5)</f>
        <v>11.57186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ROUND(8.005,5)</f>
        <v>8.005</v>
      </c>
      <c r="D160" s="26">
        <f>F160</f>
        <v>8.02129</v>
      </c>
      <c r="E160" s="26">
        <f>F160</f>
        <v>8.02129</v>
      </c>
      <c r="F160" s="26">
        <f>ROUND(8.02129,5)</f>
        <v>8.02129</v>
      </c>
      <c r="G160" s="24"/>
      <c r="H160" s="36"/>
    </row>
    <row r="161" spans="1:8" ht="12.75" customHeight="1">
      <c r="A161" s="22">
        <v>43223</v>
      </c>
      <c r="B161" s="22"/>
      <c r="C161" s="26">
        <f>ROUND(8.005,5)</f>
        <v>8.005</v>
      </c>
      <c r="D161" s="26">
        <f>F161</f>
        <v>8.04772</v>
      </c>
      <c r="E161" s="26">
        <f>F161</f>
        <v>8.04772</v>
      </c>
      <c r="F161" s="26">
        <f>ROUND(8.04772,5)</f>
        <v>8.04772</v>
      </c>
      <c r="G161" s="24"/>
      <c r="H161" s="36"/>
    </row>
    <row r="162" spans="1:8" ht="12.75" customHeight="1">
      <c r="A162" s="22">
        <v>43314</v>
      </c>
      <c r="B162" s="22"/>
      <c r="C162" s="26">
        <f>ROUND(8.005,5)</f>
        <v>8.005</v>
      </c>
      <c r="D162" s="26">
        <f>F162</f>
        <v>8.07094</v>
      </c>
      <c r="E162" s="26">
        <f>F162</f>
        <v>8.07094</v>
      </c>
      <c r="F162" s="26">
        <f>ROUND(8.07094,5)</f>
        <v>8.07094</v>
      </c>
      <c r="G162" s="24"/>
      <c r="H162" s="36"/>
    </row>
    <row r="163" spans="1:8" ht="12.75" customHeight="1">
      <c r="A163" s="22">
        <v>43405</v>
      </c>
      <c r="B163" s="22"/>
      <c r="C163" s="26">
        <f>ROUND(8.005,5)</f>
        <v>8.005</v>
      </c>
      <c r="D163" s="26">
        <f>F163</f>
        <v>8.08977</v>
      </c>
      <c r="E163" s="26">
        <f>F163</f>
        <v>8.08977</v>
      </c>
      <c r="F163" s="26">
        <f>ROUND(8.08977,5)</f>
        <v>8.08977</v>
      </c>
      <c r="G163" s="24"/>
      <c r="H163" s="36"/>
    </row>
    <row r="164" spans="1:8" ht="12.75" customHeight="1">
      <c r="A164" s="22">
        <v>43503</v>
      </c>
      <c r="B164" s="22"/>
      <c r="C164" s="26">
        <f>ROUND(8.005,5)</f>
        <v>8.005</v>
      </c>
      <c r="D164" s="26">
        <f>F164</f>
        <v>8.1294</v>
      </c>
      <c r="E164" s="26">
        <f>F164</f>
        <v>8.1294</v>
      </c>
      <c r="F164" s="26">
        <f>ROUND(8.1294,5)</f>
        <v>8.1294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ROUND(9.64,5)</f>
        <v>9.64</v>
      </c>
      <c r="D166" s="26">
        <f>F166</f>
        <v>9.66887</v>
      </c>
      <c r="E166" s="26">
        <f>F166</f>
        <v>9.66887</v>
      </c>
      <c r="F166" s="26">
        <f>ROUND(9.66887,5)</f>
        <v>9.66887</v>
      </c>
      <c r="G166" s="24"/>
      <c r="H166" s="36"/>
    </row>
    <row r="167" spans="1:8" ht="12.75" customHeight="1">
      <c r="A167" s="22">
        <v>43223</v>
      </c>
      <c r="B167" s="22"/>
      <c r="C167" s="26">
        <f>ROUND(9.64,5)</f>
        <v>9.64</v>
      </c>
      <c r="D167" s="26">
        <f>F167</f>
        <v>9.72965</v>
      </c>
      <c r="E167" s="26">
        <f>F167</f>
        <v>9.72965</v>
      </c>
      <c r="F167" s="26">
        <f>ROUND(9.72965,5)</f>
        <v>9.72965</v>
      </c>
      <c r="G167" s="24"/>
      <c r="H167" s="36"/>
    </row>
    <row r="168" spans="1:8" ht="12.75" customHeight="1">
      <c r="A168" s="22">
        <v>43314</v>
      </c>
      <c r="B168" s="22"/>
      <c r="C168" s="26">
        <f>ROUND(9.64,5)</f>
        <v>9.64</v>
      </c>
      <c r="D168" s="26">
        <f>F168</f>
        <v>9.79035</v>
      </c>
      <c r="E168" s="26">
        <f>F168</f>
        <v>9.79035</v>
      </c>
      <c r="F168" s="26">
        <f>ROUND(9.79035,5)</f>
        <v>9.79035</v>
      </c>
      <c r="G168" s="24"/>
      <c r="H168" s="36"/>
    </row>
    <row r="169" spans="1:8" ht="12.75" customHeight="1">
      <c r="A169" s="22">
        <v>43405</v>
      </c>
      <c r="B169" s="22"/>
      <c r="C169" s="26">
        <f>ROUND(9.64,5)</f>
        <v>9.64</v>
      </c>
      <c r="D169" s="26">
        <f>F169</f>
        <v>9.85029</v>
      </c>
      <c r="E169" s="26">
        <f>F169</f>
        <v>9.85029</v>
      </c>
      <c r="F169" s="26">
        <f>ROUND(9.85029,5)</f>
        <v>9.85029</v>
      </c>
      <c r="G169" s="24"/>
      <c r="H169" s="36"/>
    </row>
    <row r="170" spans="1:8" ht="12.75" customHeight="1">
      <c r="A170" s="22">
        <v>43503</v>
      </c>
      <c r="B170" s="22"/>
      <c r="C170" s="26">
        <f>ROUND(9.64,5)</f>
        <v>9.64</v>
      </c>
      <c r="D170" s="26">
        <f>F170</f>
        <v>9.92559</v>
      </c>
      <c r="E170" s="26">
        <f>F170</f>
        <v>9.92559</v>
      </c>
      <c r="F170" s="26">
        <f>ROUND(9.92559,5)</f>
        <v>9.92559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ROUND(8.7,5)</f>
        <v>8.7</v>
      </c>
      <c r="D172" s="26">
        <f>F172</f>
        <v>8.72263</v>
      </c>
      <c r="E172" s="26">
        <f>F172</f>
        <v>8.72263</v>
      </c>
      <c r="F172" s="26">
        <f>ROUND(8.72263,5)</f>
        <v>8.72263</v>
      </c>
      <c r="G172" s="24"/>
      <c r="H172" s="36"/>
    </row>
    <row r="173" spans="1:8" ht="12.75" customHeight="1">
      <c r="A173" s="22">
        <v>43223</v>
      </c>
      <c r="B173" s="22"/>
      <c r="C173" s="26">
        <f>ROUND(8.7,5)</f>
        <v>8.7</v>
      </c>
      <c r="D173" s="26">
        <f>F173</f>
        <v>8.77351</v>
      </c>
      <c r="E173" s="26">
        <f>F173</f>
        <v>8.77351</v>
      </c>
      <c r="F173" s="26">
        <f>ROUND(8.77351,5)</f>
        <v>8.77351</v>
      </c>
      <c r="G173" s="24"/>
      <c r="H173" s="36"/>
    </row>
    <row r="174" spans="1:8" ht="12.75" customHeight="1">
      <c r="A174" s="22">
        <v>43314</v>
      </c>
      <c r="B174" s="22"/>
      <c r="C174" s="26">
        <f>ROUND(8.7,5)</f>
        <v>8.7</v>
      </c>
      <c r="D174" s="26">
        <f>F174</f>
        <v>8.82382</v>
      </c>
      <c r="E174" s="26">
        <f>F174</f>
        <v>8.82382</v>
      </c>
      <c r="F174" s="26">
        <f>ROUND(8.82382,5)</f>
        <v>8.82382</v>
      </c>
      <c r="G174" s="24"/>
      <c r="H174" s="36"/>
    </row>
    <row r="175" spans="1:8" ht="12.75" customHeight="1">
      <c r="A175" s="22">
        <v>43405</v>
      </c>
      <c r="B175" s="22"/>
      <c r="C175" s="26">
        <f>ROUND(8.7,5)</f>
        <v>8.7</v>
      </c>
      <c r="D175" s="26">
        <f>F175</f>
        <v>8.86737</v>
      </c>
      <c r="E175" s="26">
        <f>F175</f>
        <v>8.86737</v>
      </c>
      <c r="F175" s="26">
        <f>ROUND(8.86737,5)</f>
        <v>8.86737</v>
      </c>
      <c r="G175" s="24"/>
      <c r="H175" s="36"/>
    </row>
    <row r="176" spans="1:8" ht="12.75" customHeight="1">
      <c r="A176" s="22">
        <v>43503</v>
      </c>
      <c r="B176" s="22"/>
      <c r="C176" s="26">
        <f>ROUND(8.7,5)</f>
        <v>8.7</v>
      </c>
      <c r="D176" s="26">
        <f>F176</f>
        <v>8.92766</v>
      </c>
      <c r="E176" s="26">
        <f>F176</f>
        <v>8.92766</v>
      </c>
      <c r="F176" s="26">
        <f>ROUND(8.92766,5)</f>
        <v>8.92766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ROUND(2.49,5)</f>
        <v>2.49</v>
      </c>
      <c r="D178" s="26">
        <f>F178</f>
        <v>296.77989</v>
      </c>
      <c r="E178" s="26">
        <f>F178</f>
        <v>296.77989</v>
      </c>
      <c r="F178" s="26">
        <f>ROUND(296.77989,5)</f>
        <v>296.77989</v>
      </c>
      <c r="G178" s="24"/>
      <c r="H178" s="36"/>
    </row>
    <row r="179" spans="1:8" ht="12.75" customHeight="1">
      <c r="A179" s="22">
        <v>43223</v>
      </c>
      <c r="B179" s="22"/>
      <c r="C179" s="26">
        <f>ROUND(2.49,5)</f>
        <v>2.49</v>
      </c>
      <c r="D179" s="26">
        <f>F179</f>
        <v>302.343</v>
      </c>
      <c r="E179" s="26">
        <f>F179</f>
        <v>302.343</v>
      </c>
      <c r="F179" s="26">
        <f>ROUND(302.343,5)</f>
        <v>302.343</v>
      </c>
      <c r="G179" s="24"/>
      <c r="H179" s="36"/>
    </row>
    <row r="180" spans="1:8" ht="12.75" customHeight="1">
      <c r="A180" s="22">
        <v>43314</v>
      </c>
      <c r="B180" s="22"/>
      <c r="C180" s="26">
        <f>ROUND(2.49,5)</f>
        <v>2.49</v>
      </c>
      <c r="D180" s="26">
        <f>F180</f>
        <v>300.89067</v>
      </c>
      <c r="E180" s="26">
        <f>F180</f>
        <v>300.89067</v>
      </c>
      <c r="F180" s="26">
        <f>ROUND(300.89067,5)</f>
        <v>300.89067</v>
      </c>
      <c r="G180" s="24"/>
      <c r="H180" s="36"/>
    </row>
    <row r="181" spans="1:8" ht="12.75" customHeight="1">
      <c r="A181" s="22">
        <v>43405</v>
      </c>
      <c r="B181" s="22"/>
      <c r="C181" s="26">
        <f>ROUND(2.49,5)</f>
        <v>2.49</v>
      </c>
      <c r="D181" s="26">
        <f>F181</f>
        <v>306.81117</v>
      </c>
      <c r="E181" s="26">
        <f>F181</f>
        <v>306.81117</v>
      </c>
      <c r="F181" s="26">
        <f>ROUND(306.81117,5)</f>
        <v>306.81117</v>
      </c>
      <c r="G181" s="24"/>
      <c r="H181" s="36"/>
    </row>
    <row r="182" spans="1:8" ht="12.75" customHeight="1">
      <c r="A182" s="22">
        <v>43503</v>
      </c>
      <c r="B182" s="22"/>
      <c r="C182" s="26">
        <f>ROUND(2.49,5)</f>
        <v>2.49</v>
      </c>
      <c r="D182" s="26">
        <f>F182</f>
        <v>313.06079</v>
      </c>
      <c r="E182" s="26">
        <f>F182</f>
        <v>313.06079</v>
      </c>
      <c r="F182" s="26">
        <f>ROUND(313.06079,5)</f>
        <v>313.06079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ROUND(2.73,5)</f>
        <v>2.73</v>
      </c>
      <c r="D184" s="26">
        <f>F184</f>
        <v>235.4053</v>
      </c>
      <c r="E184" s="26">
        <f>F184</f>
        <v>235.4053</v>
      </c>
      <c r="F184" s="26">
        <f>ROUND(235.4053,5)</f>
        <v>235.4053</v>
      </c>
      <c r="G184" s="24"/>
      <c r="H184" s="36"/>
    </row>
    <row r="185" spans="1:8" ht="12.75" customHeight="1">
      <c r="A185" s="22">
        <v>43223</v>
      </c>
      <c r="B185" s="22"/>
      <c r="C185" s="26">
        <f>ROUND(2.73,5)</f>
        <v>2.73</v>
      </c>
      <c r="D185" s="26">
        <f>F185</f>
        <v>239.81809</v>
      </c>
      <c r="E185" s="26">
        <f>F185</f>
        <v>239.81809</v>
      </c>
      <c r="F185" s="26">
        <f>ROUND(239.81809,5)</f>
        <v>239.81809</v>
      </c>
      <c r="G185" s="24"/>
      <c r="H185" s="36"/>
    </row>
    <row r="186" spans="1:8" ht="12.75" customHeight="1">
      <c r="A186" s="22">
        <v>43314</v>
      </c>
      <c r="B186" s="22"/>
      <c r="C186" s="26">
        <f>ROUND(2.73,5)</f>
        <v>2.73</v>
      </c>
      <c r="D186" s="26">
        <f>F186</f>
        <v>240.55256</v>
      </c>
      <c r="E186" s="26">
        <f>F186</f>
        <v>240.55256</v>
      </c>
      <c r="F186" s="26">
        <f>ROUND(240.55256,5)</f>
        <v>240.55256</v>
      </c>
      <c r="G186" s="24"/>
      <c r="H186" s="36"/>
    </row>
    <row r="187" spans="1:8" ht="12.75" customHeight="1">
      <c r="A187" s="22">
        <v>43405</v>
      </c>
      <c r="B187" s="22"/>
      <c r="C187" s="26">
        <f>ROUND(2.73,5)</f>
        <v>2.73</v>
      </c>
      <c r="D187" s="26">
        <f>F187</f>
        <v>245.28557</v>
      </c>
      <c r="E187" s="26">
        <f>F187</f>
        <v>245.28557</v>
      </c>
      <c r="F187" s="26">
        <f>ROUND(245.28557,5)</f>
        <v>245.28557</v>
      </c>
      <c r="G187" s="24"/>
      <c r="H187" s="36"/>
    </row>
    <row r="188" spans="1:8" ht="12.75" customHeight="1">
      <c r="A188" s="22">
        <v>43503</v>
      </c>
      <c r="B188" s="22"/>
      <c r="C188" s="26">
        <f>ROUND(2.73,5)</f>
        <v>2.73</v>
      </c>
      <c r="D188" s="26">
        <f>F188</f>
        <v>250.28271</v>
      </c>
      <c r="E188" s="26">
        <f>F188</f>
        <v>250.28271</v>
      </c>
      <c r="F188" s="26">
        <f>ROUND(250.28271,5)</f>
        <v>250.28271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ROUND(7.145,5)</f>
        <v>7.145</v>
      </c>
      <c r="D192" s="26">
        <f>F192</f>
        <v>7.11016</v>
      </c>
      <c r="E192" s="26">
        <f>F192</f>
        <v>7.11016</v>
      </c>
      <c r="F192" s="26">
        <f>ROUND(7.11016,5)</f>
        <v>7.11016</v>
      </c>
      <c r="G192" s="24"/>
      <c r="H192" s="36"/>
    </row>
    <row r="193" spans="1:8" ht="12.75" customHeight="1">
      <c r="A193" s="22">
        <v>43223</v>
      </c>
      <c r="B193" s="22"/>
      <c r="C193" s="26">
        <f>ROUND(7.145,5)</f>
        <v>7.145</v>
      </c>
      <c r="D193" s="26">
        <f>F193</f>
        <v>6.9307</v>
      </c>
      <c r="E193" s="26">
        <f>F193</f>
        <v>6.9307</v>
      </c>
      <c r="F193" s="26">
        <f>ROUND(6.9307,5)</f>
        <v>6.9307</v>
      </c>
      <c r="G193" s="24"/>
      <c r="H193" s="36"/>
    </row>
    <row r="194" spans="1:8" ht="12.75" customHeight="1">
      <c r="A194" s="22">
        <v>43314</v>
      </c>
      <c r="B194" s="22"/>
      <c r="C194" s="26">
        <f>ROUND(7.145,5)</f>
        <v>7.145</v>
      </c>
      <c r="D194" s="26">
        <f>F194</f>
        <v>6.41192</v>
      </c>
      <c r="E194" s="26">
        <f>F194</f>
        <v>6.41192</v>
      </c>
      <c r="F194" s="26">
        <f>ROUND(6.41192,5)</f>
        <v>6.41192</v>
      </c>
      <c r="G194" s="24"/>
      <c r="H194" s="36"/>
    </row>
    <row r="195" spans="1:8" ht="12.75" customHeight="1">
      <c r="A195" s="22">
        <v>43405</v>
      </c>
      <c r="B195" s="22"/>
      <c r="C195" s="26">
        <f>ROUND(7.145,5)</f>
        <v>7.145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ROUND(7.145,5)</f>
        <v>7.145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ROUND(7.385,5)</f>
        <v>7.385</v>
      </c>
      <c r="D198" s="26">
        <f>F198</f>
        <v>7.38202</v>
      </c>
      <c r="E198" s="26">
        <f>F198</f>
        <v>7.38202</v>
      </c>
      <c r="F198" s="26">
        <f>ROUND(7.38202,5)</f>
        <v>7.38202</v>
      </c>
      <c r="G198" s="24"/>
      <c r="H198" s="36"/>
    </row>
    <row r="199" spans="1:8" ht="12.75" customHeight="1">
      <c r="A199" s="22">
        <v>43223</v>
      </c>
      <c r="B199" s="22"/>
      <c r="C199" s="26">
        <f>ROUND(7.385,5)</f>
        <v>7.385</v>
      </c>
      <c r="D199" s="26">
        <f>F199</f>
        <v>7.36321</v>
      </c>
      <c r="E199" s="26">
        <f>F199</f>
        <v>7.36321</v>
      </c>
      <c r="F199" s="26">
        <f>ROUND(7.36321,5)</f>
        <v>7.36321</v>
      </c>
      <c r="G199" s="24"/>
      <c r="H199" s="36"/>
    </row>
    <row r="200" spans="1:8" ht="12.75" customHeight="1">
      <c r="A200" s="22">
        <v>43314</v>
      </c>
      <c r="B200" s="22"/>
      <c r="C200" s="26">
        <f>ROUND(7.385,5)</f>
        <v>7.385</v>
      </c>
      <c r="D200" s="26">
        <f>F200</f>
        <v>7.32033</v>
      </c>
      <c r="E200" s="26">
        <f>F200</f>
        <v>7.32033</v>
      </c>
      <c r="F200" s="26">
        <f>ROUND(7.32033,5)</f>
        <v>7.32033</v>
      </c>
      <c r="G200" s="24"/>
      <c r="H200" s="36"/>
    </row>
    <row r="201" spans="1:8" ht="12.75" customHeight="1">
      <c r="A201" s="22">
        <v>43405</v>
      </c>
      <c r="B201" s="22"/>
      <c r="C201" s="26">
        <f>ROUND(7.385,5)</f>
        <v>7.385</v>
      </c>
      <c r="D201" s="26">
        <f>F201</f>
        <v>7.19624</v>
      </c>
      <c r="E201" s="26">
        <f>F201</f>
        <v>7.19624</v>
      </c>
      <c r="F201" s="26">
        <f>ROUND(7.19624,5)</f>
        <v>7.19624</v>
      </c>
      <c r="G201" s="24"/>
      <c r="H201" s="36"/>
    </row>
    <row r="202" spans="1:8" ht="12.75" customHeight="1">
      <c r="A202" s="22">
        <v>43503</v>
      </c>
      <c r="B202" s="22"/>
      <c r="C202" s="26">
        <f>ROUND(7.385,5)</f>
        <v>7.385</v>
      </c>
      <c r="D202" s="26">
        <f>F202</f>
        <v>7.04928</v>
      </c>
      <c r="E202" s="26">
        <f>F202</f>
        <v>7.04928</v>
      </c>
      <c r="F202" s="26">
        <f>ROUND(7.04928,5)</f>
        <v>7.04928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ROUND(7.665,5)</f>
        <v>7.665</v>
      </c>
      <c r="D204" s="26">
        <f>F204</f>
        <v>7.67425</v>
      </c>
      <c r="E204" s="26">
        <f>F204</f>
        <v>7.67425</v>
      </c>
      <c r="F204" s="26">
        <f>ROUND(7.67425,5)</f>
        <v>7.67425</v>
      </c>
      <c r="G204" s="24"/>
      <c r="H204" s="36"/>
    </row>
    <row r="205" spans="1:8" ht="12.75" customHeight="1">
      <c r="A205" s="22">
        <v>43223</v>
      </c>
      <c r="B205" s="22"/>
      <c r="C205" s="26">
        <f>ROUND(7.665,5)</f>
        <v>7.665</v>
      </c>
      <c r="D205" s="26">
        <f>F205</f>
        <v>7.68523</v>
      </c>
      <c r="E205" s="26">
        <f>F205</f>
        <v>7.68523</v>
      </c>
      <c r="F205" s="26">
        <f>ROUND(7.68523,5)</f>
        <v>7.68523</v>
      </c>
      <c r="G205" s="24"/>
      <c r="H205" s="36"/>
    </row>
    <row r="206" spans="1:8" ht="12.75" customHeight="1">
      <c r="A206" s="22">
        <v>43314</v>
      </c>
      <c r="B206" s="22"/>
      <c r="C206" s="26">
        <f>ROUND(7.665,5)</f>
        <v>7.665</v>
      </c>
      <c r="D206" s="26">
        <f>F206</f>
        <v>7.68901</v>
      </c>
      <c r="E206" s="26">
        <f>F206</f>
        <v>7.68901</v>
      </c>
      <c r="F206" s="26">
        <f>ROUND(7.68901,5)</f>
        <v>7.68901</v>
      </c>
      <c r="G206" s="24"/>
      <c r="H206" s="36"/>
    </row>
    <row r="207" spans="1:8" ht="12.75" customHeight="1">
      <c r="A207" s="22">
        <v>43405</v>
      </c>
      <c r="B207" s="22"/>
      <c r="C207" s="26">
        <f>ROUND(7.665,5)</f>
        <v>7.665</v>
      </c>
      <c r="D207" s="26">
        <f>F207</f>
        <v>7.67293</v>
      </c>
      <c r="E207" s="26">
        <f>F207</f>
        <v>7.67293</v>
      </c>
      <c r="F207" s="26">
        <f>ROUND(7.67293,5)</f>
        <v>7.67293</v>
      </c>
      <c r="G207" s="24"/>
      <c r="H207" s="36"/>
    </row>
    <row r="208" spans="1:8" ht="12.75" customHeight="1">
      <c r="A208" s="22">
        <v>43503</v>
      </c>
      <c r="B208" s="22"/>
      <c r="C208" s="26">
        <f>ROUND(7.665,5)</f>
        <v>7.665</v>
      </c>
      <c r="D208" s="26">
        <f>F208</f>
        <v>7.67858</v>
      </c>
      <c r="E208" s="26">
        <f>F208</f>
        <v>7.67858</v>
      </c>
      <c r="F208" s="26">
        <f>ROUND(7.67858,5)</f>
        <v>7.67858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ROUND(9.58,5)</f>
        <v>9.58</v>
      </c>
      <c r="D210" s="26">
        <f>F210</f>
        <v>9.60456</v>
      </c>
      <c r="E210" s="26">
        <f>F210</f>
        <v>9.60456</v>
      </c>
      <c r="F210" s="26">
        <f>ROUND(9.60456,5)</f>
        <v>9.60456</v>
      </c>
      <c r="G210" s="24"/>
      <c r="H210" s="36"/>
    </row>
    <row r="211" spans="1:8" ht="12.75" customHeight="1">
      <c r="A211" s="22">
        <v>43223</v>
      </c>
      <c r="B211" s="22"/>
      <c r="C211" s="26">
        <f>ROUND(9.58,5)</f>
        <v>9.58</v>
      </c>
      <c r="D211" s="26">
        <f>F211</f>
        <v>9.65932</v>
      </c>
      <c r="E211" s="26">
        <f>F211</f>
        <v>9.65932</v>
      </c>
      <c r="F211" s="26">
        <f>ROUND(9.65932,5)</f>
        <v>9.65932</v>
      </c>
      <c r="G211" s="24"/>
      <c r="H211" s="36"/>
    </row>
    <row r="212" spans="1:8" ht="12.75" customHeight="1">
      <c r="A212" s="22">
        <v>43314</v>
      </c>
      <c r="B212" s="22"/>
      <c r="C212" s="26">
        <f>ROUND(9.58,5)</f>
        <v>9.58</v>
      </c>
      <c r="D212" s="26">
        <f>F212</f>
        <v>9.71317</v>
      </c>
      <c r="E212" s="26">
        <f>F212</f>
        <v>9.71317</v>
      </c>
      <c r="F212" s="26">
        <f>ROUND(9.71317,5)</f>
        <v>9.71317</v>
      </c>
      <c r="G212" s="24"/>
      <c r="H212" s="36"/>
    </row>
    <row r="213" spans="1:8" ht="12.75" customHeight="1">
      <c r="A213" s="22">
        <v>43405</v>
      </c>
      <c r="B213" s="22"/>
      <c r="C213" s="26">
        <f>ROUND(9.58,5)</f>
        <v>9.58</v>
      </c>
      <c r="D213" s="26">
        <f>F213</f>
        <v>9.76425</v>
      </c>
      <c r="E213" s="26">
        <f>F213</f>
        <v>9.76425</v>
      </c>
      <c r="F213" s="26">
        <f>ROUND(9.76425,5)</f>
        <v>9.76425</v>
      </c>
      <c r="G213" s="24"/>
      <c r="H213" s="36"/>
    </row>
    <row r="214" spans="1:8" ht="12.75" customHeight="1">
      <c r="A214" s="22">
        <v>43503</v>
      </c>
      <c r="B214" s="22"/>
      <c r="C214" s="26">
        <f>ROUND(9.58,5)</f>
        <v>9.58</v>
      </c>
      <c r="D214" s="26">
        <f>F214</f>
        <v>9.82724</v>
      </c>
      <c r="E214" s="26">
        <f>F214</f>
        <v>9.82724</v>
      </c>
      <c r="F214" s="26">
        <f>ROUND(9.82724,5)</f>
        <v>9.82724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ROUND(2.62,5)</f>
        <v>2.62</v>
      </c>
      <c r="D216" s="26">
        <f>F216</f>
        <v>185.91383</v>
      </c>
      <c r="E216" s="26">
        <f>F216</f>
        <v>185.91383</v>
      </c>
      <c r="F216" s="26">
        <f>ROUND(185.91383,5)</f>
        <v>185.91383</v>
      </c>
      <c r="G216" s="24"/>
      <c r="H216" s="36"/>
    </row>
    <row r="217" spans="1:8" ht="12.75" customHeight="1">
      <c r="A217" s="22">
        <v>43223</v>
      </c>
      <c r="B217" s="22"/>
      <c r="C217" s="26">
        <f>ROUND(2.62,5)</f>
        <v>2.62</v>
      </c>
      <c r="D217" s="26">
        <f>F217</f>
        <v>186.97375</v>
      </c>
      <c r="E217" s="26">
        <f>F217</f>
        <v>186.97375</v>
      </c>
      <c r="F217" s="26">
        <f>ROUND(186.97375,5)</f>
        <v>186.97375</v>
      </c>
      <c r="G217" s="24"/>
      <c r="H217" s="36"/>
    </row>
    <row r="218" spans="1:8" ht="12.75" customHeight="1">
      <c r="A218" s="22">
        <v>43314</v>
      </c>
      <c r="B218" s="22"/>
      <c r="C218" s="26">
        <f>ROUND(2.62,5)</f>
        <v>2.62</v>
      </c>
      <c r="D218" s="26">
        <f>F218</f>
        <v>190.52775</v>
      </c>
      <c r="E218" s="26">
        <f>F218</f>
        <v>190.52775</v>
      </c>
      <c r="F218" s="26">
        <f>ROUND(190.52775,5)</f>
        <v>190.52775</v>
      </c>
      <c r="G218" s="24"/>
      <c r="H218" s="36"/>
    </row>
    <row r="219" spans="1:8" ht="12.75" customHeight="1">
      <c r="A219" s="22">
        <v>43405</v>
      </c>
      <c r="B219" s="22"/>
      <c r="C219" s="26">
        <f>ROUND(2.62,5)</f>
        <v>2.62</v>
      </c>
      <c r="D219" s="26">
        <f>F219</f>
        <v>194.27629</v>
      </c>
      <c r="E219" s="26">
        <f>F219</f>
        <v>194.27629</v>
      </c>
      <c r="F219" s="26">
        <f>ROUND(194.27629,5)</f>
        <v>194.27629</v>
      </c>
      <c r="G219" s="24"/>
      <c r="H219" s="36"/>
    </row>
    <row r="220" spans="1:8" ht="12.75" customHeight="1">
      <c r="A220" s="22">
        <v>43503</v>
      </c>
      <c r="B220" s="22"/>
      <c r="C220" s="26">
        <f>ROUND(2.62,5)</f>
        <v>2.62</v>
      </c>
      <c r="D220" s="26">
        <f>F220</f>
        <v>198.23489</v>
      </c>
      <c r="E220" s="26">
        <f>F220</f>
        <v>198.23489</v>
      </c>
      <c r="F220" s="26">
        <f>ROUND(198.23489,5)</f>
        <v>198.23489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ROUND(2.46,5)</f>
        <v>2.46</v>
      </c>
      <c r="D222" s="26">
        <f>F222</f>
        <v>150.58076</v>
      </c>
      <c r="E222" s="26">
        <f>F222</f>
        <v>150.58076</v>
      </c>
      <c r="F222" s="26">
        <f>ROUND(150.58076,5)</f>
        <v>150.58076</v>
      </c>
      <c r="G222" s="24"/>
      <c r="H222" s="36"/>
    </row>
    <row r="223" spans="1:8" ht="12.75" customHeight="1">
      <c r="A223" s="22">
        <v>43223</v>
      </c>
      <c r="B223" s="22"/>
      <c r="C223" s="26">
        <f>ROUND(2.46,5)</f>
        <v>2.46</v>
      </c>
      <c r="D223" s="26">
        <f>F223</f>
        <v>153.40348</v>
      </c>
      <c r="E223" s="26">
        <f>F223</f>
        <v>153.40348</v>
      </c>
      <c r="F223" s="26">
        <f>ROUND(153.40348,5)</f>
        <v>153.40348</v>
      </c>
      <c r="G223" s="24"/>
      <c r="H223" s="36"/>
    </row>
    <row r="224" spans="1:8" ht="12.75" customHeight="1">
      <c r="A224" s="22">
        <v>43314</v>
      </c>
      <c r="B224" s="22"/>
      <c r="C224" s="26">
        <f>ROUND(2.46,5)</f>
        <v>2.46</v>
      </c>
      <c r="D224" s="26">
        <f>F224</f>
        <v>156.25161</v>
      </c>
      <c r="E224" s="26">
        <f>F224</f>
        <v>156.25161</v>
      </c>
      <c r="F224" s="26">
        <f>ROUND(156.25161,5)</f>
        <v>156.25161</v>
      </c>
      <c r="G224" s="24"/>
      <c r="H224" s="36"/>
    </row>
    <row r="225" spans="1:8" ht="12.75" customHeight="1">
      <c r="A225" s="22">
        <v>43405</v>
      </c>
      <c r="B225" s="22"/>
      <c r="C225" s="26">
        <f>ROUND(2.46,5)</f>
        <v>2.46</v>
      </c>
      <c r="D225" s="26">
        <f>F225</f>
        <v>159.32571</v>
      </c>
      <c r="E225" s="26">
        <f>F225</f>
        <v>159.32571</v>
      </c>
      <c r="F225" s="26">
        <f>ROUND(159.32571,5)</f>
        <v>159.32571</v>
      </c>
      <c r="G225" s="24"/>
      <c r="H225" s="36"/>
    </row>
    <row r="226" spans="1:8" ht="12.75" customHeight="1">
      <c r="A226" s="22">
        <v>43503</v>
      </c>
      <c r="B226" s="22"/>
      <c r="C226" s="26">
        <f>ROUND(2.46,5)</f>
        <v>2.46</v>
      </c>
      <c r="D226" s="26">
        <f>F226</f>
        <v>162.57241</v>
      </c>
      <c r="E226" s="26">
        <f>F226</f>
        <v>162.57241</v>
      </c>
      <c r="F226" s="26">
        <f>ROUND(162.57241,5)</f>
        <v>162.57241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ROUND(9.33,5)</f>
        <v>9.33</v>
      </c>
      <c r="D228" s="26">
        <f>F228</f>
        <v>9.3564</v>
      </c>
      <c r="E228" s="26">
        <f>F228</f>
        <v>9.3564</v>
      </c>
      <c r="F228" s="26">
        <f>ROUND(9.3564,5)</f>
        <v>9.3564</v>
      </c>
      <c r="G228" s="24"/>
      <c r="H228" s="36"/>
    </row>
    <row r="229" spans="1:8" ht="12.75" customHeight="1">
      <c r="A229" s="22">
        <v>43223</v>
      </c>
      <c r="B229" s="22"/>
      <c r="C229" s="26">
        <f>ROUND(9.33,5)</f>
        <v>9.33</v>
      </c>
      <c r="D229" s="26">
        <f>F229</f>
        <v>9.41138</v>
      </c>
      <c r="E229" s="26">
        <f>F229</f>
        <v>9.41138</v>
      </c>
      <c r="F229" s="26">
        <f>ROUND(9.41138,5)</f>
        <v>9.41138</v>
      </c>
      <c r="G229" s="24"/>
      <c r="H229" s="36"/>
    </row>
    <row r="230" spans="1:8" ht="12.75" customHeight="1">
      <c r="A230" s="22">
        <v>43314</v>
      </c>
      <c r="B230" s="22"/>
      <c r="C230" s="26">
        <f>ROUND(9.33,5)</f>
        <v>9.33</v>
      </c>
      <c r="D230" s="26">
        <f>F230</f>
        <v>9.46604</v>
      </c>
      <c r="E230" s="26">
        <f>F230</f>
        <v>9.46604</v>
      </c>
      <c r="F230" s="26">
        <f>ROUND(9.46604,5)</f>
        <v>9.46604</v>
      </c>
      <c r="G230" s="24"/>
      <c r="H230" s="36"/>
    </row>
    <row r="231" spans="1:8" ht="12.75" customHeight="1">
      <c r="A231" s="22">
        <v>43405</v>
      </c>
      <c r="B231" s="22"/>
      <c r="C231" s="26">
        <f>ROUND(9.33,5)</f>
        <v>9.33</v>
      </c>
      <c r="D231" s="26">
        <f>F231</f>
        <v>9.51988</v>
      </c>
      <c r="E231" s="26">
        <f>F231</f>
        <v>9.51988</v>
      </c>
      <c r="F231" s="26">
        <f>ROUND(9.51988,5)</f>
        <v>9.51988</v>
      </c>
      <c r="G231" s="24"/>
      <c r="H231" s="36"/>
    </row>
    <row r="232" spans="1:8" ht="12.75" customHeight="1">
      <c r="A232" s="22">
        <v>43503</v>
      </c>
      <c r="B232" s="22"/>
      <c r="C232" s="26">
        <f>ROUND(9.33,5)</f>
        <v>9.33</v>
      </c>
      <c r="D232" s="26">
        <f>F232</f>
        <v>9.589</v>
      </c>
      <c r="E232" s="26">
        <f>F232</f>
        <v>9.589</v>
      </c>
      <c r="F232" s="26">
        <f>ROUND(9.589,5)</f>
        <v>9.589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ROUND(9.785,5)</f>
        <v>9.785</v>
      </c>
      <c r="D234" s="26">
        <f>F234</f>
        <v>9.81146</v>
      </c>
      <c r="E234" s="26">
        <f>F234</f>
        <v>9.81146</v>
      </c>
      <c r="F234" s="26">
        <f>ROUND(9.81146,5)</f>
        <v>9.81146</v>
      </c>
      <c r="G234" s="24"/>
      <c r="H234" s="36"/>
    </row>
    <row r="235" spans="1:8" ht="12.75" customHeight="1">
      <c r="A235" s="22">
        <v>43223</v>
      </c>
      <c r="B235" s="22"/>
      <c r="C235" s="26">
        <f>ROUND(9.785,5)</f>
        <v>9.785</v>
      </c>
      <c r="D235" s="26">
        <f>F235</f>
        <v>9.86728</v>
      </c>
      <c r="E235" s="26">
        <f>F235</f>
        <v>9.86728</v>
      </c>
      <c r="F235" s="26">
        <f>ROUND(9.86728,5)</f>
        <v>9.86728</v>
      </c>
      <c r="G235" s="24"/>
      <c r="H235" s="36"/>
    </row>
    <row r="236" spans="1:8" ht="12.75" customHeight="1">
      <c r="A236" s="22">
        <v>43314</v>
      </c>
      <c r="B236" s="22"/>
      <c r="C236" s="26">
        <f>ROUND(9.785,5)</f>
        <v>9.785</v>
      </c>
      <c r="D236" s="26">
        <f>F236</f>
        <v>9.92278</v>
      </c>
      <c r="E236" s="26">
        <f>F236</f>
        <v>9.92278</v>
      </c>
      <c r="F236" s="26">
        <f>ROUND(9.92278,5)</f>
        <v>9.92278</v>
      </c>
      <c r="G236" s="24"/>
      <c r="H236" s="36"/>
    </row>
    <row r="237" spans="1:8" ht="12.75" customHeight="1">
      <c r="A237" s="22">
        <v>43405</v>
      </c>
      <c r="B237" s="22"/>
      <c r="C237" s="26">
        <f>ROUND(9.785,5)</f>
        <v>9.785</v>
      </c>
      <c r="D237" s="26">
        <f>F237</f>
        <v>9.97739</v>
      </c>
      <c r="E237" s="26">
        <f>F237</f>
        <v>9.97739</v>
      </c>
      <c r="F237" s="26">
        <f>ROUND(9.97739,5)</f>
        <v>9.97739</v>
      </c>
      <c r="G237" s="24"/>
      <c r="H237" s="36"/>
    </row>
    <row r="238" spans="1:8" ht="12.75" customHeight="1">
      <c r="A238" s="22">
        <v>43503</v>
      </c>
      <c r="B238" s="22"/>
      <c r="C238" s="26">
        <f>ROUND(9.785,5)</f>
        <v>9.785</v>
      </c>
      <c r="D238" s="26">
        <f>F238</f>
        <v>10.04508</v>
      </c>
      <c r="E238" s="26">
        <f>F238</f>
        <v>10.04508</v>
      </c>
      <c r="F238" s="26">
        <f>ROUND(10.04508,5)</f>
        <v>10.04508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ROUND(9.82,5)</f>
        <v>9.82</v>
      </c>
      <c r="D240" s="26">
        <f>F240</f>
        <v>9.84699</v>
      </c>
      <c r="E240" s="26">
        <f>F240</f>
        <v>9.84699</v>
      </c>
      <c r="F240" s="26">
        <f>ROUND(9.84699,5)</f>
        <v>9.84699</v>
      </c>
      <c r="G240" s="24"/>
      <c r="H240" s="36"/>
    </row>
    <row r="241" spans="1:8" ht="12.75" customHeight="1">
      <c r="A241" s="22">
        <v>43223</v>
      </c>
      <c r="B241" s="22"/>
      <c r="C241" s="26">
        <f>ROUND(9.82,5)</f>
        <v>9.82</v>
      </c>
      <c r="D241" s="26">
        <f>F241</f>
        <v>9.90395</v>
      </c>
      <c r="E241" s="26">
        <f>F241</f>
        <v>9.90395</v>
      </c>
      <c r="F241" s="26">
        <f>ROUND(9.90395,5)</f>
        <v>9.90395</v>
      </c>
      <c r="G241" s="24"/>
      <c r="H241" s="36"/>
    </row>
    <row r="242" spans="1:8" ht="12.75" customHeight="1">
      <c r="A242" s="22">
        <v>43314</v>
      </c>
      <c r="B242" s="22"/>
      <c r="C242" s="26">
        <f>ROUND(9.82,5)</f>
        <v>9.82</v>
      </c>
      <c r="D242" s="26">
        <f>F242</f>
        <v>9.96065</v>
      </c>
      <c r="E242" s="26">
        <f>F242</f>
        <v>9.96065</v>
      </c>
      <c r="F242" s="26">
        <f>ROUND(9.96065,5)</f>
        <v>9.96065</v>
      </c>
      <c r="G242" s="24"/>
      <c r="H242" s="36"/>
    </row>
    <row r="243" spans="1:8" ht="12.75" customHeight="1">
      <c r="A243" s="22">
        <v>43405</v>
      </c>
      <c r="B243" s="22"/>
      <c r="C243" s="26">
        <f>ROUND(9.82,5)</f>
        <v>9.82</v>
      </c>
      <c r="D243" s="26">
        <f>F243</f>
        <v>10.01644</v>
      </c>
      <c r="E243" s="26">
        <f>F243</f>
        <v>10.01644</v>
      </c>
      <c r="F243" s="26">
        <f>ROUND(10.01644,5)</f>
        <v>10.01644</v>
      </c>
      <c r="G243" s="24"/>
      <c r="H243" s="36"/>
    </row>
    <row r="244" spans="1:8" ht="12.75" customHeight="1">
      <c r="A244" s="22">
        <v>43503</v>
      </c>
      <c r="B244" s="22"/>
      <c r="C244" s="26">
        <f>ROUND(9.82,5)</f>
        <v>9.82</v>
      </c>
      <c r="D244" s="26">
        <f>F244</f>
        <v>10.08554</v>
      </c>
      <c r="E244" s="26">
        <f>F244</f>
        <v>10.08554</v>
      </c>
      <c r="F244" s="26">
        <f>ROUND(10.08554,5)</f>
        <v>10.08554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43096</v>
      </c>
      <c r="B246" s="22"/>
      <c r="C246" s="25">
        <f>ROUND(9.825725,4)</f>
        <v>9.8257</v>
      </c>
      <c r="D246" s="25">
        <f>F246</f>
        <v>9.8273</v>
      </c>
      <c r="E246" s="25">
        <f>F246</f>
        <v>9.8273</v>
      </c>
      <c r="F246" s="25">
        <f>ROUND(9.8273,4)</f>
        <v>9.8273</v>
      </c>
      <c r="G246" s="24"/>
      <c r="H246" s="36"/>
    </row>
    <row r="247" spans="1:8" ht="12.75" customHeight="1">
      <c r="A247" s="22">
        <v>43115</v>
      </c>
      <c r="B247" s="22"/>
      <c r="C247" s="25">
        <f>ROUND(9.825725,4)</f>
        <v>9.8257</v>
      </c>
      <c r="D247" s="25">
        <f>F247</f>
        <v>9.8523</v>
      </c>
      <c r="E247" s="25">
        <f>F247</f>
        <v>9.8523</v>
      </c>
      <c r="F247" s="25">
        <f>ROUND(9.8523,4)</f>
        <v>9.8523</v>
      </c>
      <c r="G247" s="24"/>
      <c r="H247" s="36"/>
    </row>
    <row r="248" spans="1:8" ht="12.75" customHeight="1">
      <c r="A248" s="22">
        <v>43159</v>
      </c>
      <c r="B248" s="22"/>
      <c r="C248" s="25">
        <f>ROUND(9.825725,4)</f>
        <v>9.8257</v>
      </c>
      <c r="D248" s="25">
        <f>F248</f>
        <v>9.9177</v>
      </c>
      <c r="E248" s="25">
        <f>F248</f>
        <v>9.9177</v>
      </c>
      <c r="F248" s="25">
        <f>ROUND(9.9177,4)</f>
        <v>9.9177</v>
      </c>
      <c r="G248" s="24"/>
      <c r="H248" s="36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43096</v>
      </c>
      <c r="B250" s="22"/>
      <c r="C250" s="25">
        <f>ROUND(15.0928656666667,4)</f>
        <v>15.0929</v>
      </c>
      <c r="D250" s="25">
        <f>F250</f>
        <v>15.0961</v>
      </c>
      <c r="E250" s="25">
        <f>F250</f>
        <v>15.0961</v>
      </c>
      <c r="F250" s="25">
        <f>ROUND(15.0961,4)</f>
        <v>15.0961</v>
      </c>
      <c r="G250" s="24"/>
      <c r="H250" s="36"/>
    </row>
    <row r="251" spans="1:8" ht="12.75" customHeight="1">
      <c r="A251" s="22">
        <v>43130</v>
      </c>
      <c r="B251" s="22"/>
      <c r="C251" s="25">
        <f>ROUND(15.0928656666667,4)</f>
        <v>15.0929</v>
      </c>
      <c r="D251" s="25">
        <f>F251</f>
        <v>15.2113</v>
      </c>
      <c r="E251" s="25">
        <f>F251</f>
        <v>15.2113</v>
      </c>
      <c r="F251" s="25">
        <f>ROUND(15.2113,4)</f>
        <v>15.2113</v>
      </c>
      <c r="G251" s="24"/>
      <c r="H251" s="36"/>
    </row>
    <row r="252" spans="1:8" ht="12.75" customHeight="1">
      <c r="A252" s="22">
        <v>43131</v>
      </c>
      <c r="B252" s="22"/>
      <c r="C252" s="25">
        <f>ROUND(15.0928656666667,4)</f>
        <v>15.0929</v>
      </c>
      <c r="D252" s="25">
        <f>F252</f>
        <v>15.2264</v>
      </c>
      <c r="E252" s="25">
        <f>F252</f>
        <v>15.2264</v>
      </c>
      <c r="F252" s="25">
        <f>ROUND(15.2264,4)</f>
        <v>15.2264</v>
      </c>
      <c r="G252" s="24"/>
      <c r="H252" s="36"/>
    </row>
    <row r="253" spans="1:8" ht="12.75" customHeight="1">
      <c r="A253" s="22">
        <v>43146</v>
      </c>
      <c r="B253" s="22"/>
      <c r="C253" s="25">
        <f>ROUND(15.0928656666667,4)</f>
        <v>15.0929</v>
      </c>
      <c r="D253" s="25">
        <f>F253</f>
        <v>15.2746</v>
      </c>
      <c r="E253" s="25">
        <f>F253</f>
        <v>15.2746</v>
      </c>
      <c r="F253" s="25">
        <f>ROUND(15.2746,4)</f>
        <v>15.2746</v>
      </c>
      <c r="G253" s="24"/>
      <c r="H253" s="36"/>
    </row>
    <row r="254" spans="1:8" ht="12.75" customHeight="1">
      <c r="A254" s="22">
        <v>43159</v>
      </c>
      <c r="B254" s="22"/>
      <c r="C254" s="25">
        <f>ROUND(15.0928656666667,4)</f>
        <v>15.0929</v>
      </c>
      <c r="D254" s="25">
        <f>F254</f>
        <v>15.3164</v>
      </c>
      <c r="E254" s="25">
        <f>F254</f>
        <v>15.3164</v>
      </c>
      <c r="F254" s="25">
        <f>ROUND(15.3164,4)</f>
        <v>15.3164</v>
      </c>
      <c r="G254" s="24"/>
      <c r="H254" s="36"/>
    </row>
    <row r="255" spans="1:8" ht="12.75" customHeight="1">
      <c r="A255" s="22">
        <v>43174</v>
      </c>
      <c r="B255" s="22"/>
      <c r="C255" s="25">
        <f>ROUND(15.0928656666667,4)</f>
        <v>15.0929</v>
      </c>
      <c r="D255" s="25">
        <f>F255</f>
        <v>15.364</v>
      </c>
      <c r="E255" s="25">
        <f>F255</f>
        <v>15.364</v>
      </c>
      <c r="F255" s="25">
        <f>ROUND(15.364,4)</f>
        <v>15.364</v>
      </c>
      <c r="G255" s="24"/>
      <c r="H255" s="36"/>
    </row>
    <row r="256" spans="1:8" ht="12.75" customHeight="1">
      <c r="A256" s="22">
        <v>43188</v>
      </c>
      <c r="B256" s="22"/>
      <c r="C256" s="25">
        <f>ROUND(15.0928656666667,4)</f>
        <v>15.0929</v>
      </c>
      <c r="D256" s="25">
        <f>F256</f>
        <v>15.4085</v>
      </c>
      <c r="E256" s="25">
        <f>F256</f>
        <v>15.4085</v>
      </c>
      <c r="F256" s="25">
        <f>ROUND(15.4085,4)</f>
        <v>15.4085</v>
      </c>
      <c r="G256" s="24"/>
      <c r="H256" s="36"/>
    </row>
    <row r="257" spans="1:8" ht="12.75" customHeight="1">
      <c r="A257" s="22" t="s">
        <v>63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43131</v>
      </c>
      <c r="B258" s="22"/>
      <c r="C258" s="25">
        <f>ROUND(17.061408,4)</f>
        <v>17.0614</v>
      </c>
      <c r="D258" s="25">
        <f>F258</f>
        <v>17.1919</v>
      </c>
      <c r="E258" s="25">
        <f>F258</f>
        <v>17.1919</v>
      </c>
      <c r="F258" s="25">
        <f>ROUND(17.1919,4)</f>
        <v>17.1919</v>
      </c>
      <c r="G258" s="24"/>
      <c r="H258" s="36"/>
    </row>
    <row r="259" spans="1:8" ht="12.75" customHeight="1">
      <c r="A259" s="22">
        <v>43160</v>
      </c>
      <c r="B259" s="22"/>
      <c r="C259" s="25">
        <f>ROUND(17.061408,4)</f>
        <v>17.0614</v>
      </c>
      <c r="D259" s="25">
        <f>F259</f>
        <v>17.2832</v>
      </c>
      <c r="E259" s="25">
        <f>F259</f>
        <v>17.2832</v>
      </c>
      <c r="F259" s="25">
        <f>ROUND(17.2832,4)</f>
        <v>17.2832</v>
      </c>
      <c r="G259" s="24"/>
      <c r="H259" s="36"/>
    </row>
    <row r="260" spans="1:8" ht="12.75" customHeight="1">
      <c r="A260" s="22">
        <v>43174</v>
      </c>
      <c r="B260" s="22"/>
      <c r="C260" s="25">
        <f>ROUND(17.061408,4)</f>
        <v>17.0614</v>
      </c>
      <c r="D260" s="25">
        <f>F260</f>
        <v>17.3263</v>
      </c>
      <c r="E260" s="25">
        <f>F260</f>
        <v>17.3263</v>
      </c>
      <c r="F260" s="25">
        <f>ROUND(17.3263,4)</f>
        <v>17.3263</v>
      </c>
      <c r="G260" s="24"/>
      <c r="H260" s="36"/>
    </row>
    <row r="261" spans="1:8" ht="12.75" customHeight="1">
      <c r="A261" s="22" t="s">
        <v>64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43091</v>
      </c>
      <c r="B262" s="22"/>
      <c r="C262" s="25">
        <f>ROUND(12.74,4)</f>
        <v>12.74</v>
      </c>
      <c r="D262" s="25">
        <f>F262</f>
        <v>12.74</v>
      </c>
      <c r="E262" s="25">
        <f>F262</f>
        <v>12.74</v>
      </c>
      <c r="F262" s="25">
        <f>ROUND(12.74,4)</f>
        <v>12.74</v>
      </c>
      <c r="G262" s="24"/>
      <c r="H262" s="36"/>
    </row>
    <row r="263" spans="1:8" ht="12.75" customHeight="1">
      <c r="A263" s="22">
        <v>43096</v>
      </c>
      <c r="B263" s="22"/>
      <c r="C263" s="25">
        <f>ROUND(12.74,4)</f>
        <v>12.74</v>
      </c>
      <c r="D263" s="25">
        <f>F263</f>
        <v>12.742</v>
      </c>
      <c r="E263" s="25">
        <f>F263</f>
        <v>12.742</v>
      </c>
      <c r="F263" s="25">
        <f>ROUND(12.742,4)</f>
        <v>12.742</v>
      </c>
      <c r="G263" s="24"/>
      <c r="H263" s="36"/>
    </row>
    <row r="264" spans="1:8" ht="12.75" customHeight="1">
      <c r="A264" s="22">
        <v>43097</v>
      </c>
      <c r="B264" s="22"/>
      <c r="C264" s="25">
        <f>ROUND(12.74,4)</f>
        <v>12.74</v>
      </c>
      <c r="D264" s="25">
        <f>F264</f>
        <v>12.742</v>
      </c>
      <c r="E264" s="25">
        <f>F264</f>
        <v>12.742</v>
      </c>
      <c r="F264" s="25">
        <f>ROUND(12.742,4)</f>
        <v>12.742</v>
      </c>
      <c r="G264" s="24"/>
      <c r="H264" s="36"/>
    </row>
    <row r="265" spans="1:8" ht="12.75" customHeight="1">
      <c r="A265" s="22">
        <v>43098</v>
      </c>
      <c r="B265" s="22"/>
      <c r="C265" s="25">
        <f>ROUND(12.74,4)</f>
        <v>12.74</v>
      </c>
      <c r="D265" s="25">
        <f>F265</f>
        <v>12.742</v>
      </c>
      <c r="E265" s="25">
        <f>F265</f>
        <v>12.742</v>
      </c>
      <c r="F265" s="25">
        <f>ROUND(12.742,4)</f>
        <v>12.742</v>
      </c>
      <c r="G265" s="24"/>
      <c r="H265" s="36"/>
    </row>
    <row r="266" spans="1:8" ht="12.75" customHeight="1">
      <c r="A266" s="22">
        <v>43102</v>
      </c>
      <c r="B266" s="22"/>
      <c r="C266" s="25">
        <f>ROUND(12.74,4)</f>
        <v>12.74</v>
      </c>
      <c r="D266" s="25">
        <f>F266</f>
        <v>12.7488</v>
      </c>
      <c r="E266" s="25">
        <f>F266</f>
        <v>12.7488</v>
      </c>
      <c r="F266" s="25">
        <f>ROUND(12.7488,4)</f>
        <v>12.7488</v>
      </c>
      <c r="G266" s="24"/>
      <c r="H266" s="36"/>
    </row>
    <row r="267" spans="1:8" ht="12.75" customHeight="1">
      <c r="A267" s="22">
        <v>43104</v>
      </c>
      <c r="B267" s="22"/>
      <c r="C267" s="25">
        <f>ROUND(12.74,4)</f>
        <v>12.74</v>
      </c>
      <c r="D267" s="25">
        <f>F267</f>
        <v>12.7523</v>
      </c>
      <c r="E267" s="25">
        <f>F267</f>
        <v>12.7523</v>
      </c>
      <c r="F267" s="25">
        <f>ROUND(12.7523,4)</f>
        <v>12.7523</v>
      </c>
      <c r="G267" s="24"/>
      <c r="H267" s="36"/>
    </row>
    <row r="268" spans="1:8" ht="12.75" customHeight="1">
      <c r="A268" s="22">
        <v>43108</v>
      </c>
      <c r="B268" s="22"/>
      <c r="C268" s="25">
        <f>ROUND(12.74,4)</f>
        <v>12.74</v>
      </c>
      <c r="D268" s="25">
        <f>F268</f>
        <v>12.7601</v>
      </c>
      <c r="E268" s="25">
        <f>F268</f>
        <v>12.7601</v>
      </c>
      <c r="F268" s="25">
        <f>ROUND(12.7601,4)</f>
        <v>12.7601</v>
      </c>
      <c r="G268" s="24"/>
      <c r="H268" s="36"/>
    </row>
    <row r="269" spans="1:8" ht="12.75" customHeight="1">
      <c r="A269" s="22">
        <v>43109</v>
      </c>
      <c r="B269" s="22"/>
      <c r="C269" s="25">
        <f>ROUND(12.74,4)</f>
        <v>12.74</v>
      </c>
      <c r="D269" s="25">
        <f>F269</f>
        <v>12.7621</v>
      </c>
      <c r="E269" s="25">
        <f>F269</f>
        <v>12.7621</v>
      </c>
      <c r="F269" s="25">
        <f>ROUND(12.7621,4)</f>
        <v>12.7621</v>
      </c>
      <c r="G269" s="24"/>
      <c r="H269" s="36"/>
    </row>
    <row r="270" spans="1:8" ht="12.75" customHeight="1">
      <c r="A270" s="22">
        <v>43110</v>
      </c>
      <c r="B270" s="22"/>
      <c r="C270" s="25">
        <f>ROUND(12.74,4)</f>
        <v>12.74</v>
      </c>
      <c r="D270" s="25">
        <f>F270</f>
        <v>12.7642</v>
      </c>
      <c r="E270" s="25">
        <f>F270</f>
        <v>12.7642</v>
      </c>
      <c r="F270" s="25">
        <f>ROUND(12.7642,4)</f>
        <v>12.7642</v>
      </c>
      <c r="G270" s="24"/>
      <c r="H270" s="36"/>
    </row>
    <row r="271" spans="1:8" ht="12.75" customHeight="1">
      <c r="A271" s="22">
        <v>43112</v>
      </c>
      <c r="B271" s="22"/>
      <c r="C271" s="25">
        <f>ROUND(12.74,4)</f>
        <v>12.74</v>
      </c>
      <c r="D271" s="25">
        <f>F271</f>
        <v>12.7682</v>
      </c>
      <c r="E271" s="25">
        <f>F271</f>
        <v>12.7682</v>
      </c>
      <c r="F271" s="25">
        <f>ROUND(12.7682,4)</f>
        <v>12.7682</v>
      </c>
      <c r="G271" s="24"/>
      <c r="H271" s="36"/>
    </row>
    <row r="272" spans="1:8" ht="12.75" customHeight="1">
      <c r="A272" s="22">
        <v>43115</v>
      </c>
      <c r="B272" s="22"/>
      <c r="C272" s="25">
        <f>ROUND(12.74,4)</f>
        <v>12.74</v>
      </c>
      <c r="D272" s="25">
        <f>F272</f>
        <v>12.7743</v>
      </c>
      <c r="E272" s="25">
        <f>F272</f>
        <v>12.7743</v>
      </c>
      <c r="F272" s="25">
        <f>ROUND(12.7743,4)</f>
        <v>12.7743</v>
      </c>
      <c r="G272" s="24"/>
      <c r="H272" s="36"/>
    </row>
    <row r="273" spans="1:8" ht="12.75" customHeight="1">
      <c r="A273" s="22">
        <v>43116</v>
      </c>
      <c r="B273" s="22"/>
      <c r="C273" s="25">
        <f>ROUND(12.74,4)</f>
        <v>12.74</v>
      </c>
      <c r="D273" s="25">
        <f>F273</f>
        <v>12.7764</v>
      </c>
      <c r="E273" s="25">
        <f>F273</f>
        <v>12.7764</v>
      </c>
      <c r="F273" s="25">
        <f>ROUND(12.7764,4)</f>
        <v>12.7764</v>
      </c>
      <c r="G273" s="24"/>
      <c r="H273" s="36"/>
    </row>
    <row r="274" spans="1:8" ht="12.75" customHeight="1">
      <c r="A274" s="22">
        <v>43118</v>
      </c>
      <c r="B274" s="22"/>
      <c r="C274" s="25">
        <f>ROUND(12.74,4)</f>
        <v>12.74</v>
      </c>
      <c r="D274" s="25">
        <f>F274</f>
        <v>12.7804</v>
      </c>
      <c r="E274" s="25">
        <f>F274</f>
        <v>12.7804</v>
      </c>
      <c r="F274" s="25">
        <f>ROUND(12.7804,4)</f>
        <v>12.7804</v>
      </c>
      <c r="G274" s="24"/>
      <c r="H274" s="36"/>
    </row>
    <row r="275" spans="1:8" ht="12.75" customHeight="1">
      <c r="A275" s="22">
        <v>43119</v>
      </c>
      <c r="B275" s="22"/>
      <c r="C275" s="25">
        <f>ROUND(12.74,4)</f>
        <v>12.74</v>
      </c>
      <c r="D275" s="25">
        <f>F275</f>
        <v>12.7825</v>
      </c>
      <c r="E275" s="25">
        <f>F275</f>
        <v>12.7825</v>
      </c>
      <c r="F275" s="25">
        <f>ROUND(12.7825,4)</f>
        <v>12.7825</v>
      </c>
      <c r="G275" s="24"/>
      <c r="H275" s="36"/>
    </row>
    <row r="276" spans="1:8" ht="12.75" customHeight="1">
      <c r="A276" s="22">
        <v>43125</v>
      </c>
      <c r="B276" s="22"/>
      <c r="C276" s="25">
        <f>ROUND(12.74,4)</f>
        <v>12.74</v>
      </c>
      <c r="D276" s="25">
        <f>F276</f>
        <v>12.7947</v>
      </c>
      <c r="E276" s="25">
        <f>F276</f>
        <v>12.7947</v>
      </c>
      <c r="F276" s="25">
        <f>ROUND(12.7947,4)</f>
        <v>12.7947</v>
      </c>
      <c r="G276" s="24"/>
      <c r="H276" s="36"/>
    </row>
    <row r="277" spans="1:8" ht="12.75" customHeight="1">
      <c r="A277" s="22">
        <v>43131</v>
      </c>
      <c r="B277" s="22"/>
      <c r="C277" s="25">
        <f>ROUND(12.74,4)</f>
        <v>12.74</v>
      </c>
      <c r="D277" s="25">
        <f>F277</f>
        <v>12.8067</v>
      </c>
      <c r="E277" s="25">
        <f>F277</f>
        <v>12.8067</v>
      </c>
      <c r="F277" s="25">
        <f>ROUND(12.8067,4)</f>
        <v>12.8067</v>
      </c>
      <c r="G277" s="24"/>
      <c r="H277" s="36"/>
    </row>
    <row r="278" spans="1:8" ht="12.75" customHeight="1">
      <c r="A278" s="22">
        <v>43132</v>
      </c>
      <c r="B278" s="22"/>
      <c r="C278" s="25">
        <f>ROUND(12.74,4)</f>
        <v>12.74</v>
      </c>
      <c r="D278" s="25">
        <f>F278</f>
        <v>12.8086</v>
      </c>
      <c r="E278" s="25">
        <f>F278</f>
        <v>12.8086</v>
      </c>
      <c r="F278" s="25">
        <f>ROUND(12.8086,4)</f>
        <v>12.8086</v>
      </c>
      <c r="G278" s="24"/>
      <c r="H278" s="36"/>
    </row>
    <row r="279" spans="1:8" ht="12.75" customHeight="1">
      <c r="A279" s="22">
        <v>43137</v>
      </c>
      <c r="B279" s="22"/>
      <c r="C279" s="25">
        <f>ROUND(12.74,4)</f>
        <v>12.74</v>
      </c>
      <c r="D279" s="25">
        <f>F279</f>
        <v>12.8183</v>
      </c>
      <c r="E279" s="25">
        <f>F279</f>
        <v>12.8183</v>
      </c>
      <c r="F279" s="25">
        <f>ROUND(12.8183,4)</f>
        <v>12.8183</v>
      </c>
      <c r="G279" s="24"/>
      <c r="H279" s="36"/>
    </row>
    <row r="280" spans="1:8" ht="12.75" customHeight="1">
      <c r="A280" s="22">
        <v>43139</v>
      </c>
      <c r="B280" s="22"/>
      <c r="C280" s="25">
        <f>ROUND(12.74,4)</f>
        <v>12.74</v>
      </c>
      <c r="D280" s="25">
        <f>F280</f>
        <v>12.8222</v>
      </c>
      <c r="E280" s="25">
        <f>F280</f>
        <v>12.8222</v>
      </c>
      <c r="F280" s="25">
        <f>ROUND(12.8222,4)</f>
        <v>12.8222</v>
      </c>
      <c r="G280" s="24"/>
      <c r="H280" s="36"/>
    </row>
    <row r="281" spans="1:8" ht="12.75" customHeight="1">
      <c r="A281" s="22">
        <v>43143</v>
      </c>
      <c r="B281" s="22"/>
      <c r="C281" s="25">
        <f>ROUND(12.74,4)</f>
        <v>12.74</v>
      </c>
      <c r="D281" s="25">
        <f>F281</f>
        <v>12.8299</v>
      </c>
      <c r="E281" s="25">
        <f>F281</f>
        <v>12.8299</v>
      </c>
      <c r="F281" s="25">
        <f>ROUND(12.8299,4)</f>
        <v>12.8299</v>
      </c>
      <c r="G281" s="24"/>
      <c r="H281" s="36"/>
    </row>
    <row r="282" spans="1:8" ht="12.75" customHeight="1">
      <c r="A282" s="22">
        <v>43144</v>
      </c>
      <c r="B282" s="22"/>
      <c r="C282" s="25">
        <f>ROUND(12.74,4)</f>
        <v>12.74</v>
      </c>
      <c r="D282" s="25">
        <f>F282</f>
        <v>12.8318</v>
      </c>
      <c r="E282" s="25">
        <f>F282</f>
        <v>12.8318</v>
      </c>
      <c r="F282" s="25">
        <f>ROUND(12.8318,4)</f>
        <v>12.8318</v>
      </c>
      <c r="G282" s="24"/>
      <c r="H282" s="36"/>
    </row>
    <row r="283" spans="1:8" ht="12.75" customHeight="1">
      <c r="A283" s="22">
        <v>43146</v>
      </c>
      <c r="B283" s="22"/>
      <c r="C283" s="25">
        <f>ROUND(12.74,4)</f>
        <v>12.74</v>
      </c>
      <c r="D283" s="25">
        <f>F283</f>
        <v>12.8357</v>
      </c>
      <c r="E283" s="25">
        <f>F283</f>
        <v>12.8357</v>
      </c>
      <c r="F283" s="25">
        <f>ROUND(12.8357,4)</f>
        <v>12.8357</v>
      </c>
      <c r="G283" s="24"/>
      <c r="H283" s="36"/>
    </row>
    <row r="284" spans="1:8" ht="12.75" customHeight="1">
      <c r="A284" s="22">
        <v>43147</v>
      </c>
      <c r="B284" s="22"/>
      <c r="C284" s="25">
        <f>ROUND(12.74,4)</f>
        <v>12.74</v>
      </c>
      <c r="D284" s="25">
        <f>F284</f>
        <v>12.8376</v>
      </c>
      <c r="E284" s="25">
        <f>F284</f>
        <v>12.8376</v>
      </c>
      <c r="F284" s="25">
        <f>ROUND(12.8376,4)</f>
        <v>12.8376</v>
      </c>
      <c r="G284" s="24"/>
      <c r="H284" s="36"/>
    </row>
    <row r="285" spans="1:8" ht="12.75" customHeight="1">
      <c r="A285" s="22">
        <v>43159</v>
      </c>
      <c r="B285" s="22"/>
      <c r="C285" s="25">
        <f>ROUND(12.74,4)</f>
        <v>12.74</v>
      </c>
      <c r="D285" s="25">
        <f>F285</f>
        <v>12.8608</v>
      </c>
      <c r="E285" s="25">
        <f>F285</f>
        <v>12.8608</v>
      </c>
      <c r="F285" s="25">
        <f>ROUND(12.8608,4)</f>
        <v>12.8608</v>
      </c>
      <c r="G285" s="24"/>
      <c r="H285" s="36"/>
    </row>
    <row r="286" spans="1:8" ht="12.75" customHeight="1">
      <c r="A286" s="22">
        <v>43160</v>
      </c>
      <c r="B286" s="22"/>
      <c r="C286" s="25">
        <f>ROUND(12.74,4)</f>
        <v>12.74</v>
      </c>
      <c r="D286" s="25">
        <f>F286</f>
        <v>12.8627</v>
      </c>
      <c r="E286" s="25">
        <f>F286</f>
        <v>12.8627</v>
      </c>
      <c r="F286" s="25">
        <f>ROUND(12.8627,4)</f>
        <v>12.8627</v>
      </c>
      <c r="G286" s="24"/>
      <c r="H286" s="36"/>
    </row>
    <row r="287" spans="1:8" ht="12.75" customHeight="1">
      <c r="A287" s="22">
        <v>43161</v>
      </c>
      <c r="B287" s="22"/>
      <c r="C287" s="25">
        <f>ROUND(12.74,4)</f>
        <v>12.74</v>
      </c>
      <c r="D287" s="25">
        <f>F287</f>
        <v>12.8646</v>
      </c>
      <c r="E287" s="25">
        <f>F287</f>
        <v>12.8646</v>
      </c>
      <c r="F287" s="25">
        <f>ROUND(12.8646,4)</f>
        <v>12.8646</v>
      </c>
      <c r="G287" s="24"/>
      <c r="H287" s="36"/>
    </row>
    <row r="288" spans="1:8" ht="12.75" customHeight="1">
      <c r="A288" s="22">
        <v>43174</v>
      </c>
      <c r="B288" s="22"/>
      <c r="C288" s="25">
        <f>ROUND(12.74,4)</f>
        <v>12.74</v>
      </c>
      <c r="D288" s="25">
        <f>F288</f>
        <v>12.8893</v>
      </c>
      <c r="E288" s="25">
        <f>F288</f>
        <v>12.8893</v>
      </c>
      <c r="F288" s="25">
        <f>ROUND(12.8893,4)</f>
        <v>12.8893</v>
      </c>
      <c r="G288" s="24"/>
      <c r="H288" s="36"/>
    </row>
    <row r="289" spans="1:8" ht="12.75" customHeight="1">
      <c r="A289" s="22">
        <v>43188</v>
      </c>
      <c r="B289" s="22"/>
      <c r="C289" s="25">
        <f>ROUND(12.74,4)</f>
        <v>12.74</v>
      </c>
      <c r="D289" s="25">
        <f>F289</f>
        <v>12.9158</v>
      </c>
      <c r="E289" s="25">
        <f>F289</f>
        <v>12.9158</v>
      </c>
      <c r="F289" s="25">
        <f>ROUND(12.9158,4)</f>
        <v>12.9158</v>
      </c>
      <c r="G289" s="24"/>
      <c r="H289" s="36"/>
    </row>
    <row r="290" spans="1:8" ht="12.75" customHeight="1">
      <c r="A290" s="22">
        <v>43214</v>
      </c>
      <c r="B290" s="22"/>
      <c r="C290" s="25">
        <f>ROUND(12.74,4)</f>
        <v>12.74</v>
      </c>
      <c r="D290" s="25">
        <f>F290</f>
        <v>12.9655</v>
      </c>
      <c r="E290" s="25">
        <f>F290</f>
        <v>12.9655</v>
      </c>
      <c r="F290" s="25">
        <f>ROUND(12.9655,4)</f>
        <v>12.9655</v>
      </c>
      <c r="G290" s="24"/>
      <c r="H290" s="36"/>
    </row>
    <row r="291" spans="1:8" ht="12.75" customHeight="1">
      <c r="A291" s="22">
        <v>43215</v>
      </c>
      <c r="B291" s="22"/>
      <c r="C291" s="25">
        <f>ROUND(12.74,4)</f>
        <v>12.74</v>
      </c>
      <c r="D291" s="25">
        <f>F291</f>
        <v>12.9674</v>
      </c>
      <c r="E291" s="25">
        <f>F291</f>
        <v>12.9674</v>
      </c>
      <c r="F291" s="25">
        <f>ROUND(12.9674,4)</f>
        <v>12.9674</v>
      </c>
      <c r="G291" s="24"/>
      <c r="H291" s="36"/>
    </row>
    <row r="292" spans="1:8" ht="12.75" customHeight="1">
      <c r="A292" s="22">
        <v>43220</v>
      </c>
      <c r="B292" s="22"/>
      <c r="C292" s="25">
        <f>ROUND(12.74,4)</f>
        <v>12.74</v>
      </c>
      <c r="D292" s="25">
        <f>F292</f>
        <v>12.9769</v>
      </c>
      <c r="E292" s="25">
        <f>F292</f>
        <v>12.9769</v>
      </c>
      <c r="F292" s="25">
        <f>ROUND(12.9769,4)</f>
        <v>12.9769</v>
      </c>
      <c r="G292" s="24"/>
      <c r="H292" s="36"/>
    </row>
    <row r="293" spans="1:8" ht="12.75" customHeight="1">
      <c r="A293" s="22">
        <v>43229</v>
      </c>
      <c r="B293" s="22"/>
      <c r="C293" s="25">
        <f>ROUND(12.74,4)</f>
        <v>12.74</v>
      </c>
      <c r="D293" s="25">
        <f>F293</f>
        <v>12.9941</v>
      </c>
      <c r="E293" s="25">
        <f>F293</f>
        <v>12.9941</v>
      </c>
      <c r="F293" s="25">
        <f>ROUND(12.9941,4)</f>
        <v>12.9941</v>
      </c>
      <c r="G293" s="24"/>
      <c r="H293" s="36"/>
    </row>
    <row r="294" spans="1:8" ht="12.75" customHeight="1">
      <c r="A294" s="22">
        <v>43231</v>
      </c>
      <c r="B294" s="22"/>
      <c r="C294" s="25">
        <f>ROUND(12.74,4)</f>
        <v>12.74</v>
      </c>
      <c r="D294" s="25">
        <f>F294</f>
        <v>12.9979</v>
      </c>
      <c r="E294" s="25">
        <f>F294</f>
        <v>12.9979</v>
      </c>
      <c r="F294" s="25">
        <f>ROUND(12.9979,4)</f>
        <v>12.9979</v>
      </c>
      <c r="G294" s="24"/>
      <c r="H294" s="36"/>
    </row>
    <row r="295" spans="1:8" ht="12.75" customHeight="1">
      <c r="A295" s="22">
        <v>43234</v>
      </c>
      <c r="B295" s="22"/>
      <c r="C295" s="25">
        <f>ROUND(12.74,4)</f>
        <v>12.74</v>
      </c>
      <c r="D295" s="25">
        <f>F295</f>
        <v>13.0037</v>
      </c>
      <c r="E295" s="25">
        <f>F295</f>
        <v>13.0037</v>
      </c>
      <c r="F295" s="25">
        <f>ROUND(13.0037,4)</f>
        <v>13.0037</v>
      </c>
      <c r="G295" s="24"/>
      <c r="H295" s="36"/>
    </row>
    <row r="296" spans="1:8" ht="12.75" customHeight="1">
      <c r="A296" s="22">
        <v>43235</v>
      </c>
      <c r="B296" s="22"/>
      <c r="C296" s="25">
        <f>ROUND(12.74,4)</f>
        <v>12.74</v>
      </c>
      <c r="D296" s="25">
        <f>F296</f>
        <v>13.0056</v>
      </c>
      <c r="E296" s="25">
        <f>F296</f>
        <v>13.0056</v>
      </c>
      <c r="F296" s="25">
        <f>ROUND(13.0056,4)</f>
        <v>13.0056</v>
      </c>
      <c r="G296" s="24"/>
      <c r="H296" s="36"/>
    </row>
    <row r="297" spans="1:8" ht="12.75" customHeight="1">
      <c r="A297" s="22">
        <v>43251</v>
      </c>
      <c r="B297" s="22"/>
      <c r="C297" s="25">
        <f>ROUND(12.74,4)</f>
        <v>12.74</v>
      </c>
      <c r="D297" s="25">
        <f>F297</f>
        <v>13.0361</v>
      </c>
      <c r="E297" s="25">
        <f>F297</f>
        <v>13.0361</v>
      </c>
      <c r="F297" s="25">
        <f>ROUND(13.0361,4)</f>
        <v>13.0361</v>
      </c>
      <c r="G297" s="24"/>
      <c r="H297" s="36"/>
    </row>
    <row r="298" spans="1:8" ht="12.75" customHeight="1">
      <c r="A298" s="22">
        <v>43280</v>
      </c>
      <c r="B298" s="22"/>
      <c r="C298" s="25">
        <f>ROUND(12.74,4)</f>
        <v>12.74</v>
      </c>
      <c r="D298" s="25">
        <f>F298</f>
        <v>13.0914</v>
      </c>
      <c r="E298" s="25">
        <f>F298</f>
        <v>13.0914</v>
      </c>
      <c r="F298" s="25">
        <f>ROUND(13.0914,4)</f>
        <v>13.0914</v>
      </c>
      <c r="G298" s="24"/>
      <c r="H298" s="36"/>
    </row>
    <row r="299" spans="1:8" ht="12.75" customHeight="1">
      <c r="A299" s="22">
        <v>43283</v>
      </c>
      <c r="B299" s="22"/>
      <c r="C299" s="25">
        <f>ROUND(12.74,4)</f>
        <v>12.74</v>
      </c>
      <c r="D299" s="25">
        <f>F299</f>
        <v>13.097</v>
      </c>
      <c r="E299" s="25">
        <f>F299</f>
        <v>13.097</v>
      </c>
      <c r="F299" s="25">
        <f>ROUND(13.097,4)</f>
        <v>13.097</v>
      </c>
      <c r="G299" s="24"/>
      <c r="H299" s="36"/>
    </row>
    <row r="300" spans="1:8" ht="12.75" customHeight="1">
      <c r="A300" s="22">
        <v>43301</v>
      </c>
      <c r="B300" s="22"/>
      <c r="C300" s="25">
        <f>ROUND(12.74,4)</f>
        <v>12.74</v>
      </c>
      <c r="D300" s="25">
        <f>F300</f>
        <v>13.1303</v>
      </c>
      <c r="E300" s="25">
        <f>F300</f>
        <v>13.1303</v>
      </c>
      <c r="F300" s="25">
        <f>ROUND(13.1303,4)</f>
        <v>13.1303</v>
      </c>
      <c r="G300" s="24"/>
      <c r="H300" s="36"/>
    </row>
    <row r="301" spans="1:8" ht="12.75" customHeight="1">
      <c r="A301" s="22">
        <v>43305</v>
      </c>
      <c r="B301" s="22"/>
      <c r="C301" s="25">
        <f>ROUND(12.74,4)</f>
        <v>12.74</v>
      </c>
      <c r="D301" s="25">
        <f>F301</f>
        <v>13.1377</v>
      </c>
      <c r="E301" s="25">
        <f>F301</f>
        <v>13.1377</v>
      </c>
      <c r="F301" s="25">
        <f>ROUND(13.1377,4)</f>
        <v>13.1377</v>
      </c>
      <c r="G301" s="24"/>
      <c r="H301" s="36"/>
    </row>
    <row r="302" spans="1:8" ht="12.75" customHeight="1">
      <c r="A302" s="22">
        <v>43306</v>
      </c>
      <c r="B302" s="22"/>
      <c r="C302" s="25">
        <f>ROUND(12.74,4)</f>
        <v>12.74</v>
      </c>
      <c r="D302" s="25">
        <f>F302</f>
        <v>13.1396</v>
      </c>
      <c r="E302" s="25">
        <f>F302</f>
        <v>13.1396</v>
      </c>
      <c r="F302" s="25">
        <f>ROUND(13.1396,4)</f>
        <v>13.1396</v>
      </c>
      <c r="G302" s="24"/>
      <c r="H302" s="36"/>
    </row>
    <row r="303" spans="1:8" ht="12.75" customHeight="1">
      <c r="A303" s="22">
        <v>43312</v>
      </c>
      <c r="B303" s="22"/>
      <c r="C303" s="25">
        <f>ROUND(12.74,4)</f>
        <v>12.74</v>
      </c>
      <c r="D303" s="25">
        <f>F303</f>
        <v>13.1507</v>
      </c>
      <c r="E303" s="25">
        <f>F303</f>
        <v>13.1507</v>
      </c>
      <c r="F303" s="25">
        <f>ROUND(13.1507,4)</f>
        <v>13.1507</v>
      </c>
      <c r="G303" s="24"/>
      <c r="H303" s="36"/>
    </row>
    <row r="304" spans="1:8" ht="12.75" customHeight="1">
      <c r="A304" s="22">
        <v>43319</v>
      </c>
      <c r="B304" s="22"/>
      <c r="C304" s="25">
        <f>ROUND(12.74,4)</f>
        <v>12.74</v>
      </c>
      <c r="D304" s="25">
        <f>F304</f>
        <v>13.1637</v>
      </c>
      <c r="E304" s="25">
        <f>F304</f>
        <v>13.1637</v>
      </c>
      <c r="F304" s="25">
        <f>ROUND(13.1637,4)</f>
        <v>13.1637</v>
      </c>
      <c r="G304" s="24"/>
      <c r="H304" s="36"/>
    </row>
    <row r="305" spans="1:8" ht="12.75" customHeight="1">
      <c r="A305" s="22">
        <v>43325</v>
      </c>
      <c r="B305" s="22"/>
      <c r="C305" s="25">
        <f>ROUND(12.74,4)</f>
        <v>12.74</v>
      </c>
      <c r="D305" s="25">
        <f>F305</f>
        <v>13.1748</v>
      </c>
      <c r="E305" s="25">
        <f>F305</f>
        <v>13.1748</v>
      </c>
      <c r="F305" s="25">
        <f>ROUND(13.1748,4)</f>
        <v>13.1748</v>
      </c>
      <c r="G305" s="24"/>
      <c r="H305" s="36"/>
    </row>
    <row r="306" spans="1:8" ht="12.75" customHeight="1">
      <c r="A306" s="22">
        <v>43343</v>
      </c>
      <c r="B306" s="22"/>
      <c r="C306" s="25">
        <f>ROUND(12.74,4)</f>
        <v>12.74</v>
      </c>
      <c r="D306" s="25">
        <f>F306</f>
        <v>13.2081</v>
      </c>
      <c r="E306" s="25">
        <f>F306</f>
        <v>13.2081</v>
      </c>
      <c r="F306" s="25">
        <f>ROUND(13.2081,4)</f>
        <v>13.2081</v>
      </c>
      <c r="G306" s="24"/>
      <c r="H306" s="36"/>
    </row>
    <row r="307" spans="1:8" ht="12.75" customHeight="1">
      <c r="A307" s="22">
        <v>43371</v>
      </c>
      <c r="B307" s="22"/>
      <c r="C307" s="25">
        <f>ROUND(12.74,4)</f>
        <v>12.74</v>
      </c>
      <c r="D307" s="25">
        <f>F307</f>
        <v>13.26</v>
      </c>
      <c r="E307" s="25">
        <f>F307</f>
        <v>13.26</v>
      </c>
      <c r="F307" s="25">
        <f>ROUND(13.26,4)</f>
        <v>13.26</v>
      </c>
      <c r="G307" s="24"/>
      <c r="H307" s="36"/>
    </row>
    <row r="308" spans="1:8" ht="12.75" customHeight="1">
      <c r="A308" s="22">
        <v>43398</v>
      </c>
      <c r="B308" s="22"/>
      <c r="C308" s="25">
        <f>ROUND(12.74,4)</f>
        <v>12.74</v>
      </c>
      <c r="D308" s="25">
        <f>F308</f>
        <v>13.3102</v>
      </c>
      <c r="E308" s="25">
        <f>F308</f>
        <v>13.3102</v>
      </c>
      <c r="F308" s="25">
        <f>ROUND(13.3102,4)</f>
        <v>13.3102</v>
      </c>
      <c r="G308" s="24"/>
      <c r="H308" s="36"/>
    </row>
    <row r="309" spans="1:8" ht="12.75" customHeight="1">
      <c r="A309" s="22">
        <v>43402</v>
      </c>
      <c r="B309" s="22"/>
      <c r="C309" s="25">
        <f>ROUND(12.74,4)</f>
        <v>12.74</v>
      </c>
      <c r="D309" s="25">
        <f>F309</f>
        <v>13.3177</v>
      </c>
      <c r="E309" s="25">
        <f>F309</f>
        <v>13.3177</v>
      </c>
      <c r="F309" s="25">
        <f>ROUND(13.3177,4)</f>
        <v>13.3177</v>
      </c>
      <c r="G309" s="24"/>
      <c r="H309" s="36"/>
    </row>
    <row r="310" spans="1:8" ht="12.75" customHeight="1">
      <c r="A310" s="22">
        <v>43404</v>
      </c>
      <c r="B310" s="22"/>
      <c r="C310" s="25">
        <f>ROUND(12.74,4)</f>
        <v>12.74</v>
      </c>
      <c r="D310" s="25">
        <f>F310</f>
        <v>13.3214</v>
      </c>
      <c r="E310" s="25">
        <f>F310</f>
        <v>13.3214</v>
      </c>
      <c r="F310" s="25">
        <f>ROUND(13.3214,4)</f>
        <v>13.3214</v>
      </c>
      <c r="G310" s="24"/>
      <c r="H310" s="36"/>
    </row>
    <row r="311" spans="1:8" ht="12.75" customHeight="1">
      <c r="A311" s="22">
        <v>43409</v>
      </c>
      <c r="B311" s="22"/>
      <c r="C311" s="25">
        <f>ROUND(12.74,4)</f>
        <v>12.74</v>
      </c>
      <c r="D311" s="25">
        <f>F311</f>
        <v>13.3307</v>
      </c>
      <c r="E311" s="25">
        <f>F311</f>
        <v>13.3307</v>
      </c>
      <c r="F311" s="25">
        <f>ROUND(13.3307,4)</f>
        <v>13.3307</v>
      </c>
      <c r="G311" s="24"/>
      <c r="H311" s="36"/>
    </row>
    <row r="312" spans="1:8" ht="12.75" customHeight="1">
      <c r="A312" s="22">
        <v>43417</v>
      </c>
      <c r="B312" s="22"/>
      <c r="C312" s="25">
        <f>ROUND(12.74,4)</f>
        <v>12.74</v>
      </c>
      <c r="D312" s="25">
        <f>F312</f>
        <v>13.3456</v>
      </c>
      <c r="E312" s="25">
        <f>F312</f>
        <v>13.3456</v>
      </c>
      <c r="F312" s="25">
        <f>ROUND(13.3456,4)</f>
        <v>13.3456</v>
      </c>
      <c r="G312" s="24"/>
      <c r="H312" s="36"/>
    </row>
    <row r="313" spans="1:8" ht="12.75" customHeight="1">
      <c r="A313" s="22">
        <v>43434</v>
      </c>
      <c r="B313" s="22"/>
      <c r="C313" s="25">
        <f>ROUND(12.74,4)</f>
        <v>12.74</v>
      </c>
      <c r="D313" s="25">
        <f>F313</f>
        <v>13.3773</v>
      </c>
      <c r="E313" s="25">
        <f>F313</f>
        <v>13.3773</v>
      </c>
      <c r="F313" s="25">
        <f>ROUND(13.3773,4)</f>
        <v>13.3773</v>
      </c>
      <c r="G313" s="24"/>
      <c r="H313" s="36"/>
    </row>
    <row r="314" spans="1:8" ht="12.75" customHeight="1">
      <c r="A314" s="22">
        <v>43445</v>
      </c>
      <c r="B314" s="22"/>
      <c r="C314" s="25">
        <f>ROUND(12.74,4)</f>
        <v>12.74</v>
      </c>
      <c r="D314" s="25">
        <f>F314</f>
        <v>13.3977</v>
      </c>
      <c r="E314" s="25">
        <f>F314</f>
        <v>13.3977</v>
      </c>
      <c r="F314" s="25">
        <f>ROUND(13.3977,4)</f>
        <v>13.3977</v>
      </c>
      <c r="G314" s="24"/>
      <c r="H314" s="36"/>
    </row>
    <row r="315" spans="1:8" ht="12.75" customHeight="1">
      <c r="A315" s="22">
        <v>43465</v>
      </c>
      <c r="B315" s="22"/>
      <c r="C315" s="25">
        <f>ROUND(12.74,4)</f>
        <v>12.74</v>
      </c>
      <c r="D315" s="25">
        <f>F315</f>
        <v>13.4352</v>
      </c>
      <c r="E315" s="25">
        <f>F315</f>
        <v>13.4352</v>
      </c>
      <c r="F315" s="25">
        <f>ROUND(13.4352,4)</f>
        <v>13.4352</v>
      </c>
      <c r="G315" s="24"/>
      <c r="H315" s="36"/>
    </row>
    <row r="316" spans="1:8" ht="12.75" customHeight="1">
      <c r="A316" s="22">
        <v>43509</v>
      </c>
      <c r="B316" s="22"/>
      <c r="C316" s="25">
        <f>ROUND(12.74,4)</f>
        <v>12.74</v>
      </c>
      <c r="D316" s="25">
        <f>F316</f>
        <v>13.5202</v>
      </c>
      <c r="E316" s="25">
        <f>F316</f>
        <v>13.5202</v>
      </c>
      <c r="F316" s="25">
        <f>ROUND(13.5202,4)</f>
        <v>13.5202</v>
      </c>
      <c r="G316" s="24"/>
      <c r="H316" s="36"/>
    </row>
    <row r="317" spans="1:8" ht="12.75" customHeight="1">
      <c r="A317" s="22">
        <v>44040</v>
      </c>
      <c r="B317" s="22"/>
      <c r="C317" s="25">
        <f>ROUND(12.74,4)</f>
        <v>12.74</v>
      </c>
      <c r="D317" s="25">
        <f>F317</f>
        <v>14.6163</v>
      </c>
      <c r="E317" s="25">
        <f>F317</f>
        <v>14.6163</v>
      </c>
      <c r="F317" s="25">
        <f>ROUND(14.6163,4)</f>
        <v>14.6163</v>
      </c>
      <c r="G317" s="24"/>
      <c r="H317" s="36"/>
    </row>
    <row r="318" spans="1:8" ht="12.75" customHeight="1">
      <c r="A318" s="22" t="s">
        <v>65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43178</v>
      </c>
      <c r="B319" s="22"/>
      <c r="C319" s="25">
        <f>ROUND(1.18468333333333,4)</f>
        <v>1.1847</v>
      </c>
      <c r="D319" s="25">
        <f>F319</f>
        <v>1.1923</v>
      </c>
      <c r="E319" s="25">
        <f>F319</f>
        <v>1.1923</v>
      </c>
      <c r="F319" s="25">
        <f>ROUND(1.1923,4)</f>
        <v>1.1923</v>
      </c>
      <c r="G319" s="24"/>
      <c r="H319" s="36"/>
    </row>
    <row r="320" spans="1:8" ht="12.75" customHeight="1">
      <c r="A320" s="22">
        <v>43269</v>
      </c>
      <c r="B320" s="22"/>
      <c r="C320" s="25">
        <f>ROUND(1.18468333333333,4)</f>
        <v>1.1847</v>
      </c>
      <c r="D320" s="25">
        <f>F320</f>
        <v>1.1995</v>
      </c>
      <c r="E320" s="25">
        <f>F320</f>
        <v>1.1995</v>
      </c>
      <c r="F320" s="25">
        <f>ROUND(1.1995,4)</f>
        <v>1.1995</v>
      </c>
      <c r="G320" s="24"/>
      <c r="H320" s="36"/>
    </row>
    <row r="321" spans="1:8" ht="12.75" customHeight="1">
      <c r="A321" s="22">
        <v>43360</v>
      </c>
      <c r="B321" s="22"/>
      <c r="C321" s="25">
        <f>ROUND(1.18468333333333,4)</f>
        <v>1.1847</v>
      </c>
      <c r="D321" s="25">
        <f>F321</f>
        <v>1.2073</v>
      </c>
      <c r="E321" s="25">
        <f>F321</f>
        <v>1.2073</v>
      </c>
      <c r="F321" s="25">
        <f>ROUND(1.2073,4)</f>
        <v>1.2073</v>
      </c>
      <c r="G321" s="24"/>
      <c r="H321" s="36"/>
    </row>
    <row r="322" spans="1:8" ht="12.75" customHeight="1">
      <c r="A322" s="22">
        <v>43448</v>
      </c>
      <c r="B322" s="22"/>
      <c r="C322" s="25">
        <f>ROUND(1.18468333333333,4)</f>
        <v>1.1847</v>
      </c>
      <c r="D322" s="25">
        <f>F322</f>
        <v>1.215</v>
      </c>
      <c r="E322" s="25">
        <f>F322</f>
        <v>1.215</v>
      </c>
      <c r="F322" s="25">
        <f>ROUND(1.215,4)</f>
        <v>1.215</v>
      </c>
      <c r="G322" s="24"/>
      <c r="H322" s="36"/>
    </row>
    <row r="323" spans="1:8" ht="12.75" customHeight="1">
      <c r="A323" s="22" t="s">
        <v>66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43178</v>
      </c>
      <c r="B324" s="22"/>
      <c r="C324" s="25">
        <f>ROUND(1.3392,4)</f>
        <v>1.3392</v>
      </c>
      <c r="D324" s="25">
        <f>F324</f>
        <v>1.3444</v>
      </c>
      <c r="E324" s="25">
        <f>F324</f>
        <v>1.3444</v>
      </c>
      <c r="F324" s="25">
        <f>ROUND(1.3444,4)</f>
        <v>1.3444</v>
      </c>
      <c r="G324" s="24"/>
      <c r="H324" s="36"/>
    </row>
    <row r="325" spans="1:8" ht="12.75" customHeight="1">
      <c r="A325" s="22">
        <v>43269</v>
      </c>
      <c r="B325" s="22"/>
      <c r="C325" s="25">
        <f>ROUND(1.3392,4)</f>
        <v>1.3392</v>
      </c>
      <c r="D325" s="25">
        <f>F325</f>
        <v>1.3488</v>
      </c>
      <c r="E325" s="25">
        <f>F325</f>
        <v>1.3488</v>
      </c>
      <c r="F325" s="25">
        <f>ROUND(1.3488,4)</f>
        <v>1.3488</v>
      </c>
      <c r="G325" s="24"/>
      <c r="H325" s="36"/>
    </row>
    <row r="326" spans="1:8" ht="12.75" customHeight="1">
      <c r="A326" s="22">
        <v>43360</v>
      </c>
      <c r="B326" s="22"/>
      <c r="C326" s="25">
        <f>ROUND(1.3392,4)</f>
        <v>1.3392</v>
      </c>
      <c r="D326" s="25">
        <f>F326</f>
        <v>1.3535</v>
      </c>
      <c r="E326" s="25">
        <f>F326</f>
        <v>1.3535</v>
      </c>
      <c r="F326" s="25">
        <f>ROUND(1.3535,4)</f>
        <v>1.3535</v>
      </c>
      <c r="G326" s="24"/>
      <c r="H326" s="36"/>
    </row>
    <row r="327" spans="1:8" ht="12.75" customHeight="1">
      <c r="A327" s="22">
        <v>43448</v>
      </c>
      <c r="B327" s="22"/>
      <c r="C327" s="25">
        <f>ROUND(1.3392,4)</f>
        <v>1.3392</v>
      </c>
      <c r="D327" s="25">
        <f>F327</f>
        <v>1.3581</v>
      </c>
      <c r="E327" s="25">
        <f>F327</f>
        <v>1.3581</v>
      </c>
      <c r="F327" s="25">
        <f>ROUND(1.3581,4)</f>
        <v>1.3581</v>
      </c>
      <c r="G327" s="24"/>
      <c r="H327" s="36"/>
    </row>
    <row r="328" spans="1:8" ht="12.75" customHeight="1">
      <c r="A328" s="22" t="s">
        <v>67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43178</v>
      </c>
      <c r="B329" s="22"/>
      <c r="C329" s="25">
        <f>ROUND(9.825725,4)</f>
        <v>9.8257</v>
      </c>
      <c r="D329" s="25">
        <f>F329</f>
        <v>9.9448</v>
      </c>
      <c r="E329" s="25">
        <f>F329</f>
        <v>9.9448</v>
      </c>
      <c r="F329" s="25">
        <f>ROUND(9.9448,4)</f>
        <v>9.9448</v>
      </c>
      <c r="G329" s="24"/>
      <c r="H329" s="36"/>
    </row>
    <row r="330" spans="1:8" ht="12.75" customHeight="1">
      <c r="A330" s="22">
        <v>43269</v>
      </c>
      <c r="B330" s="22"/>
      <c r="C330" s="25">
        <f>ROUND(9.825725,4)</f>
        <v>9.8257</v>
      </c>
      <c r="D330" s="25">
        <f>F330</f>
        <v>10.0774</v>
      </c>
      <c r="E330" s="25">
        <f>F330</f>
        <v>10.0774</v>
      </c>
      <c r="F330" s="25">
        <f>ROUND(10.0774,4)</f>
        <v>10.0774</v>
      </c>
      <c r="G330" s="24"/>
      <c r="H330" s="36"/>
    </row>
    <row r="331" spans="1:8" ht="12.75" customHeight="1">
      <c r="A331" s="22">
        <v>43360</v>
      </c>
      <c r="B331" s="22"/>
      <c r="C331" s="25">
        <f>ROUND(9.825725,4)</f>
        <v>9.8257</v>
      </c>
      <c r="D331" s="25">
        <f>F331</f>
        <v>10.208</v>
      </c>
      <c r="E331" s="25">
        <f>F331</f>
        <v>10.208</v>
      </c>
      <c r="F331" s="25">
        <f>ROUND(10.208,4)</f>
        <v>10.208</v>
      </c>
      <c r="G331" s="24"/>
      <c r="H331" s="36"/>
    </row>
    <row r="332" spans="1:8" ht="12.75" customHeight="1">
      <c r="A332" s="22">
        <v>43448</v>
      </c>
      <c r="B332" s="22"/>
      <c r="C332" s="25">
        <f>ROUND(9.825725,4)</f>
        <v>9.8257</v>
      </c>
      <c r="D332" s="25">
        <f>F332</f>
        <v>10.3333</v>
      </c>
      <c r="E332" s="25">
        <f>F332</f>
        <v>10.3333</v>
      </c>
      <c r="F332" s="25">
        <f>ROUND(10.3333,4)</f>
        <v>10.3333</v>
      </c>
      <c r="G332" s="24"/>
      <c r="H332" s="36"/>
    </row>
    <row r="333" spans="1:8" ht="12.75" customHeight="1">
      <c r="A333" s="22">
        <v>43542</v>
      </c>
      <c r="B333" s="22"/>
      <c r="C333" s="25">
        <f>ROUND(9.825725,4)</f>
        <v>9.8257</v>
      </c>
      <c r="D333" s="25">
        <f>F333</f>
        <v>10.473</v>
      </c>
      <c r="E333" s="25">
        <f>F333</f>
        <v>10.473</v>
      </c>
      <c r="F333" s="25">
        <f>ROUND(10.473,4)</f>
        <v>10.473</v>
      </c>
      <c r="G333" s="24"/>
      <c r="H333" s="36"/>
    </row>
    <row r="334" spans="1:8" ht="12.75" customHeight="1">
      <c r="A334" s="22">
        <v>43630</v>
      </c>
      <c r="B334" s="22"/>
      <c r="C334" s="25">
        <f>ROUND(9.825725,4)</f>
        <v>9.8257</v>
      </c>
      <c r="D334" s="25">
        <f>F334</f>
        <v>10.6026</v>
      </c>
      <c r="E334" s="25">
        <f>F334</f>
        <v>10.6026</v>
      </c>
      <c r="F334" s="25">
        <f>ROUND(10.6026,4)</f>
        <v>10.6026</v>
      </c>
      <c r="G334" s="24"/>
      <c r="H334" s="36"/>
    </row>
    <row r="335" spans="1:8" ht="12.75" customHeight="1">
      <c r="A335" s="22">
        <v>43724</v>
      </c>
      <c r="B335" s="22"/>
      <c r="C335" s="25">
        <f>ROUND(9.825725,4)</f>
        <v>9.8257</v>
      </c>
      <c r="D335" s="25">
        <f>F335</f>
        <v>10.7387</v>
      </c>
      <c r="E335" s="25">
        <f>F335</f>
        <v>10.7387</v>
      </c>
      <c r="F335" s="25">
        <f>ROUND(10.7387,4)</f>
        <v>10.7387</v>
      </c>
      <c r="G335" s="24"/>
      <c r="H335" s="36"/>
    </row>
    <row r="336" spans="1:8" ht="12.75" customHeight="1">
      <c r="A336" s="22">
        <v>43812</v>
      </c>
      <c r="B336" s="22"/>
      <c r="C336" s="25">
        <f>ROUND(9.825725,4)</f>
        <v>9.8257</v>
      </c>
      <c r="D336" s="25">
        <f>F336</f>
        <v>10.8624</v>
      </c>
      <c r="E336" s="25">
        <f>F336</f>
        <v>10.8624</v>
      </c>
      <c r="F336" s="25">
        <f>ROUND(10.8624,4)</f>
        <v>10.8624</v>
      </c>
      <c r="G336" s="24"/>
      <c r="H336" s="36"/>
    </row>
    <row r="337" spans="1:8" ht="12.75" customHeight="1">
      <c r="A337" s="22" t="s">
        <v>68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43178</v>
      </c>
      <c r="B338" s="22"/>
      <c r="C338" s="25">
        <f>ROUND(3.46902654867257,4)</f>
        <v>3.469</v>
      </c>
      <c r="D338" s="25">
        <f>F338</f>
        <v>3.7946</v>
      </c>
      <c r="E338" s="25">
        <f>F338</f>
        <v>3.7946</v>
      </c>
      <c r="F338" s="25">
        <f>ROUND(3.7946,4)</f>
        <v>3.7946</v>
      </c>
      <c r="G338" s="24"/>
      <c r="H338" s="36"/>
    </row>
    <row r="339" spans="1:8" ht="12.75" customHeight="1">
      <c r="A339" s="22">
        <v>43269</v>
      </c>
      <c r="B339" s="22"/>
      <c r="C339" s="25">
        <f>ROUND(3.46902654867257,4)</f>
        <v>3.469</v>
      </c>
      <c r="D339" s="25">
        <f>F339</f>
        <v>3.8409</v>
      </c>
      <c r="E339" s="25">
        <f>F339</f>
        <v>3.8409</v>
      </c>
      <c r="F339" s="25">
        <f>ROUND(3.8409,4)</f>
        <v>3.8409</v>
      </c>
      <c r="G339" s="24"/>
      <c r="H339" s="36"/>
    </row>
    <row r="340" spans="1:8" ht="12.75" customHeight="1">
      <c r="A340" s="22">
        <v>43360</v>
      </c>
      <c r="B340" s="22"/>
      <c r="C340" s="25">
        <f>ROUND(3.46902654867257,4)</f>
        <v>3.469</v>
      </c>
      <c r="D340" s="25">
        <f>F340</f>
        <v>3.8973</v>
      </c>
      <c r="E340" s="25">
        <f>F340</f>
        <v>3.8973</v>
      </c>
      <c r="F340" s="25">
        <f>ROUND(3.8973,4)</f>
        <v>3.8973</v>
      </c>
      <c r="G340" s="24"/>
      <c r="H340" s="36"/>
    </row>
    <row r="341" spans="1:8" ht="12.75" customHeight="1">
      <c r="A341" s="22" t="s">
        <v>69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43178</v>
      </c>
      <c r="B342" s="22"/>
      <c r="C342" s="25">
        <f>ROUND(1.271452,4)</f>
        <v>1.2715</v>
      </c>
      <c r="D342" s="25">
        <f>F342</f>
        <v>1.2838</v>
      </c>
      <c r="E342" s="25">
        <f>F342</f>
        <v>1.2838</v>
      </c>
      <c r="F342" s="25">
        <f>ROUND(1.2838,4)</f>
        <v>1.2838</v>
      </c>
      <c r="G342" s="24"/>
      <c r="H342" s="36"/>
    </row>
    <row r="343" spans="1:8" ht="12.75" customHeight="1">
      <c r="A343" s="22">
        <v>43269</v>
      </c>
      <c r="B343" s="22"/>
      <c r="C343" s="25">
        <f>ROUND(1.271452,4)</f>
        <v>1.2715</v>
      </c>
      <c r="D343" s="25">
        <f>F343</f>
        <v>1.2984</v>
      </c>
      <c r="E343" s="25">
        <f>F343</f>
        <v>1.2984</v>
      </c>
      <c r="F343" s="25">
        <f>ROUND(1.2984,4)</f>
        <v>1.2984</v>
      </c>
      <c r="G343" s="24"/>
      <c r="H343" s="36"/>
    </row>
    <row r="344" spans="1:8" ht="12.75" customHeight="1">
      <c r="A344" s="22">
        <v>43360</v>
      </c>
      <c r="B344" s="22"/>
      <c r="C344" s="25">
        <f>ROUND(1.271452,4)</f>
        <v>1.2715</v>
      </c>
      <c r="D344" s="25">
        <f>F344</f>
        <v>1.3145</v>
      </c>
      <c r="E344" s="25">
        <f>F344</f>
        <v>1.3145</v>
      </c>
      <c r="F344" s="25">
        <f>ROUND(1.3145,4)</f>
        <v>1.3145</v>
      </c>
      <c r="G344" s="24"/>
      <c r="H344" s="36"/>
    </row>
    <row r="345" spans="1:8" ht="12.75" customHeight="1">
      <c r="A345" s="22">
        <v>43448</v>
      </c>
      <c r="B345" s="22"/>
      <c r="C345" s="25">
        <f>ROUND(1.271452,4)</f>
        <v>1.2715</v>
      </c>
      <c r="D345" s="25">
        <f>F345</f>
        <v>1.3124</v>
      </c>
      <c r="E345" s="25">
        <f>F345</f>
        <v>1.3124</v>
      </c>
      <c r="F345" s="25">
        <f>ROUND(1.3124,4)</f>
        <v>1.3124</v>
      </c>
      <c r="G345" s="24"/>
      <c r="H345" s="36"/>
    </row>
    <row r="346" spans="1:8" ht="12.75" customHeight="1">
      <c r="A346" s="22">
        <v>43542</v>
      </c>
      <c r="B346" s="22"/>
      <c r="C346" s="25">
        <f>ROUND(1.271452,4)</f>
        <v>1.2715</v>
      </c>
      <c r="D346" s="25">
        <f>F346</f>
        <v>1.3869</v>
      </c>
      <c r="E346" s="25">
        <f>F346</f>
        <v>1.3869</v>
      </c>
      <c r="F346" s="25">
        <f>ROUND(1.3869,4)</f>
        <v>1.3869</v>
      </c>
      <c r="G346" s="24"/>
      <c r="H346" s="36"/>
    </row>
    <row r="347" spans="1:8" ht="12.75" customHeight="1">
      <c r="A347" s="22">
        <v>43630</v>
      </c>
      <c r="B347" s="22"/>
      <c r="C347" s="25">
        <f>ROUND(1.271452,4)</f>
        <v>1.2715</v>
      </c>
      <c r="D347" s="25">
        <f>F347</f>
        <v>1.3975</v>
      </c>
      <c r="E347" s="25">
        <f>F347</f>
        <v>1.3975</v>
      </c>
      <c r="F347" s="25">
        <f>ROUND(1.3975,4)</f>
        <v>1.3975</v>
      </c>
      <c r="G347" s="24"/>
      <c r="H347" s="36"/>
    </row>
    <row r="348" spans="1:8" ht="12.75" customHeight="1">
      <c r="A348" s="22">
        <v>43724</v>
      </c>
      <c r="B348" s="22"/>
      <c r="C348" s="25">
        <f>ROUND(1.271452,4)</f>
        <v>1.2715</v>
      </c>
      <c r="D348" s="25">
        <f>F348</f>
        <v>1.4035</v>
      </c>
      <c r="E348" s="25">
        <f>F348</f>
        <v>1.4035</v>
      </c>
      <c r="F348" s="25">
        <f>ROUND(1.4035,4)</f>
        <v>1.4035</v>
      </c>
      <c r="G348" s="24"/>
      <c r="H348" s="36"/>
    </row>
    <row r="349" spans="1:8" ht="12.75" customHeight="1">
      <c r="A349" s="22">
        <v>43812</v>
      </c>
      <c r="B349" s="22"/>
      <c r="C349" s="25">
        <f>ROUND(1.271452,4)</f>
        <v>1.2715</v>
      </c>
      <c r="D349" s="25">
        <f>F349</f>
        <v>1.4114</v>
      </c>
      <c r="E349" s="25">
        <f>F349</f>
        <v>1.4114</v>
      </c>
      <c r="F349" s="25">
        <f>ROUND(1.4114,4)</f>
        <v>1.4114</v>
      </c>
      <c r="G349" s="24"/>
      <c r="H349" s="36"/>
    </row>
    <row r="350" spans="1:8" ht="12.75" customHeight="1">
      <c r="A350" s="22" t="s">
        <v>70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43178</v>
      </c>
      <c r="B351" s="22"/>
      <c r="C351" s="25">
        <f>ROUND(10.0188738597043,4)</f>
        <v>10.0189</v>
      </c>
      <c r="D351" s="25">
        <f>F351</f>
        <v>10.1592</v>
      </c>
      <c r="E351" s="25">
        <f>F351</f>
        <v>10.1592</v>
      </c>
      <c r="F351" s="25">
        <f>ROUND(10.1592,4)</f>
        <v>10.1592</v>
      </c>
      <c r="G351" s="24"/>
      <c r="H351" s="36"/>
    </row>
    <row r="352" spans="1:8" ht="12.75" customHeight="1">
      <c r="A352" s="22">
        <v>43269</v>
      </c>
      <c r="B352" s="22"/>
      <c r="C352" s="25">
        <f>ROUND(10.0188738597043,4)</f>
        <v>10.0189</v>
      </c>
      <c r="D352" s="25">
        <f>F352</f>
        <v>10.3045</v>
      </c>
      <c r="E352" s="25">
        <f>F352</f>
        <v>10.3045</v>
      </c>
      <c r="F352" s="25">
        <f>ROUND(10.3045,4)</f>
        <v>10.3045</v>
      </c>
      <c r="G352" s="24"/>
      <c r="H352" s="36"/>
    </row>
    <row r="353" spans="1:8" ht="12.75" customHeight="1">
      <c r="A353" s="22">
        <v>43360</v>
      </c>
      <c r="B353" s="22"/>
      <c r="C353" s="25">
        <f>ROUND(10.0188738597043,4)</f>
        <v>10.0189</v>
      </c>
      <c r="D353" s="25">
        <f>F353</f>
        <v>10.4448</v>
      </c>
      <c r="E353" s="25">
        <f>F353</f>
        <v>10.4448</v>
      </c>
      <c r="F353" s="25">
        <f>ROUND(10.4448,4)</f>
        <v>10.4448</v>
      </c>
      <c r="G353" s="24"/>
      <c r="H353" s="36"/>
    </row>
    <row r="354" spans="1:8" ht="12.75" customHeight="1">
      <c r="A354" s="22">
        <v>43448</v>
      </c>
      <c r="B354" s="22"/>
      <c r="C354" s="25">
        <f>ROUND(10.0188738597043,4)</f>
        <v>10.0189</v>
      </c>
      <c r="D354" s="25">
        <f>F354</f>
        <v>10.4505</v>
      </c>
      <c r="E354" s="25">
        <f>F354</f>
        <v>10.4505</v>
      </c>
      <c r="F354" s="25">
        <f>ROUND(10.4505,4)</f>
        <v>10.4505</v>
      </c>
      <c r="G354" s="24"/>
      <c r="H354" s="36"/>
    </row>
    <row r="355" spans="1:8" ht="12.75" customHeight="1">
      <c r="A355" s="22">
        <v>43542</v>
      </c>
      <c r="B355" s="22"/>
      <c r="C355" s="25">
        <f>ROUND(10.0188738597043,4)</f>
        <v>10.0189</v>
      </c>
      <c r="D355" s="25">
        <f>F355</f>
        <v>10.5875</v>
      </c>
      <c r="E355" s="25">
        <f>F355</f>
        <v>10.5875</v>
      </c>
      <c r="F355" s="25">
        <f>ROUND(10.5875,4)</f>
        <v>10.5875</v>
      </c>
      <c r="G355" s="24"/>
      <c r="H355" s="36"/>
    </row>
    <row r="356" spans="1:8" ht="12.75" customHeight="1">
      <c r="A356" s="22">
        <v>43630</v>
      </c>
      <c r="B356" s="22"/>
      <c r="C356" s="25">
        <f>ROUND(10.0188738597043,4)</f>
        <v>10.0189</v>
      </c>
      <c r="D356" s="25">
        <f>F356</f>
        <v>10.7378</v>
      </c>
      <c r="E356" s="25">
        <f>F356</f>
        <v>10.7378</v>
      </c>
      <c r="F356" s="25">
        <f>ROUND(10.7378,4)</f>
        <v>10.7378</v>
      </c>
      <c r="G356" s="24"/>
      <c r="H356" s="36"/>
    </row>
    <row r="357" spans="1:8" ht="12.75" customHeight="1">
      <c r="A357" s="22">
        <v>43724</v>
      </c>
      <c r="B357" s="22"/>
      <c r="C357" s="25">
        <f>ROUND(10.0188738597043,4)</f>
        <v>10.0189</v>
      </c>
      <c r="D357" s="25">
        <f>F357</f>
        <v>10.876</v>
      </c>
      <c r="E357" s="25">
        <f>F357</f>
        <v>10.876</v>
      </c>
      <c r="F357" s="25">
        <f>ROUND(10.876,4)</f>
        <v>10.876</v>
      </c>
      <c r="G357" s="24"/>
      <c r="H357" s="36"/>
    </row>
    <row r="358" spans="1:8" ht="12.75" customHeight="1">
      <c r="A358" s="22">
        <v>43812</v>
      </c>
      <c r="B358" s="22"/>
      <c r="C358" s="25">
        <f>ROUND(10.0188738597043,4)</f>
        <v>10.0189</v>
      </c>
      <c r="D358" s="25">
        <f>F358</f>
        <v>11.0225</v>
      </c>
      <c r="E358" s="25">
        <f>F358</f>
        <v>11.0225</v>
      </c>
      <c r="F358" s="25">
        <f>ROUND(11.0225,4)</f>
        <v>11.0225</v>
      </c>
      <c r="G358" s="24"/>
      <c r="H358" s="36"/>
    </row>
    <row r="359" spans="1:8" ht="12.75" customHeight="1">
      <c r="A359" s="22" t="s">
        <v>71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43178</v>
      </c>
      <c r="B360" s="22"/>
      <c r="C360" s="25">
        <f>ROUND(1.96187868416049,4)</f>
        <v>1.9619</v>
      </c>
      <c r="D360" s="25">
        <f>F360</f>
        <v>1.9517</v>
      </c>
      <c r="E360" s="25">
        <f>F360</f>
        <v>1.9517</v>
      </c>
      <c r="F360" s="25">
        <f>ROUND(1.9517,4)</f>
        <v>1.9517</v>
      </c>
      <c r="G360" s="24"/>
      <c r="H360" s="36"/>
    </row>
    <row r="361" spans="1:8" ht="12.75" customHeight="1">
      <c r="A361" s="22">
        <v>43269</v>
      </c>
      <c r="B361" s="22"/>
      <c r="C361" s="25">
        <f>ROUND(1.96187868416049,4)</f>
        <v>1.9619</v>
      </c>
      <c r="D361" s="25">
        <f>F361</f>
        <v>1.9672</v>
      </c>
      <c r="E361" s="25">
        <f>F361</f>
        <v>1.9672</v>
      </c>
      <c r="F361" s="25">
        <f>ROUND(1.9672,4)</f>
        <v>1.9672</v>
      </c>
      <c r="G361" s="24"/>
      <c r="H361" s="36"/>
    </row>
    <row r="362" spans="1:8" ht="12.75" customHeight="1">
      <c r="A362" s="22">
        <v>43360</v>
      </c>
      <c r="B362" s="22"/>
      <c r="C362" s="25">
        <f>ROUND(1.96187868416049,4)</f>
        <v>1.9619</v>
      </c>
      <c r="D362" s="25">
        <f>F362</f>
        <v>1.982</v>
      </c>
      <c r="E362" s="25">
        <f>F362</f>
        <v>1.982</v>
      </c>
      <c r="F362" s="25">
        <f>ROUND(1.982,4)</f>
        <v>1.982</v>
      </c>
      <c r="G362" s="24"/>
      <c r="H362" s="36"/>
    </row>
    <row r="363" spans="1:8" ht="12.75" customHeight="1">
      <c r="A363" s="22">
        <v>43448</v>
      </c>
      <c r="B363" s="22"/>
      <c r="C363" s="25">
        <f>ROUND(1.96187868416049,4)</f>
        <v>1.9619</v>
      </c>
      <c r="D363" s="25">
        <f>F363</f>
        <v>1.9966</v>
      </c>
      <c r="E363" s="25">
        <f>F363</f>
        <v>1.9966</v>
      </c>
      <c r="F363" s="25">
        <f>ROUND(1.9966,4)</f>
        <v>1.9966</v>
      </c>
      <c r="G363" s="24"/>
      <c r="H363" s="36"/>
    </row>
    <row r="364" spans="1:8" ht="12.75" customHeight="1">
      <c r="A364" s="22">
        <v>43542</v>
      </c>
      <c r="B364" s="22"/>
      <c r="C364" s="25">
        <f>ROUND(1.96187868416049,4)</f>
        <v>1.9619</v>
      </c>
      <c r="D364" s="25">
        <f>F364</f>
        <v>2.013</v>
      </c>
      <c r="E364" s="25">
        <f>F364</f>
        <v>2.013</v>
      </c>
      <c r="F364" s="25">
        <f>ROUND(2.013,4)</f>
        <v>2.013</v>
      </c>
      <c r="G364" s="24"/>
      <c r="H364" s="36"/>
    </row>
    <row r="365" spans="1:8" ht="12.75" customHeight="1">
      <c r="A365" s="22">
        <v>43630</v>
      </c>
      <c r="B365" s="22"/>
      <c r="C365" s="25">
        <f>ROUND(1.96187868416049,4)</f>
        <v>1.9619</v>
      </c>
      <c r="D365" s="25">
        <f>F365</f>
        <v>2.0282</v>
      </c>
      <c r="E365" s="25">
        <f>F365</f>
        <v>2.0282</v>
      </c>
      <c r="F365" s="25">
        <f>ROUND(2.0282,4)</f>
        <v>2.0282</v>
      </c>
      <c r="G365" s="24"/>
      <c r="H365" s="36"/>
    </row>
    <row r="366" spans="1:8" ht="12.75" customHeight="1">
      <c r="A366" s="22">
        <v>43724</v>
      </c>
      <c r="B366" s="22"/>
      <c r="C366" s="25">
        <f>ROUND(1.96187868416049,4)</f>
        <v>1.9619</v>
      </c>
      <c r="D366" s="25">
        <f>F366</f>
        <v>2.0444</v>
      </c>
      <c r="E366" s="25">
        <f>F366</f>
        <v>2.0444</v>
      </c>
      <c r="F366" s="25">
        <f>ROUND(2.0444,4)</f>
        <v>2.0444</v>
      </c>
      <c r="G366" s="24"/>
      <c r="H366" s="36"/>
    </row>
    <row r="367" spans="1:8" ht="12.75" customHeight="1">
      <c r="A367" s="22">
        <v>43812</v>
      </c>
      <c r="B367" s="22"/>
      <c r="C367" s="25">
        <f>ROUND(1.96187868416049,4)</f>
        <v>1.9619</v>
      </c>
      <c r="D367" s="25">
        <f>F367</f>
        <v>2.0594</v>
      </c>
      <c r="E367" s="25">
        <f>F367</f>
        <v>2.0594</v>
      </c>
      <c r="F367" s="25">
        <f>ROUND(2.0594,4)</f>
        <v>2.0594</v>
      </c>
      <c r="G367" s="24"/>
      <c r="H367" s="36"/>
    </row>
    <row r="368" spans="1:8" ht="12.75" customHeight="1">
      <c r="A368" s="22" t="s">
        <v>72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43178</v>
      </c>
      <c r="B369" s="22"/>
      <c r="C369" s="25">
        <f>ROUND(2.02759696337912,4)</f>
        <v>2.0276</v>
      </c>
      <c r="D369" s="25">
        <f>F369</f>
        <v>2.0738</v>
      </c>
      <c r="E369" s="25">
        <f>F369</f>
        <v>2.0738</v>
      </c>
      <c r="F369" s="25">
        <f>ROUND(2.0738,4)</f>
        <v>2.0738</v>
      </c>
      <c r="G369" s="24"/>
      <c r="H369" s="36"/>
    </row>
    <row r="370" spans="1:8" ht="12.75" customHeight="1">
      <c r="A370" s="22">
        <v>43269</v>
      </c>
      <c r="B370" s="22"/>
      <c r="C370" s="25">
        <f>ROUND(2.02759696337912,4)</f>
        <v>2.0276</v>
      </c>
      <c r="D370" s="25">
        <f>F370</f>
        <v>2.1155</v>
      </c>
      <c r="E370" s="25">
        <f>F370</f>
        <v>2.1155</v>
      </c>
      <c r="F370" s="25">
        <f>ROUND(2.1155,4)</f>
        <v>2.1155</v>
      </c>
      <c r="G370" s="24"/>
      <c r="H370" s="36"/>
    </row>
    <row r="371" spans="1:8" ht="12.75" customHeight="1">
      <c r="A371" s="22">
        <v>43360</v>
      </c>
      <c r="B371" s="22"/>
      <c r="C371" s="25">
        <f>ROUND(2.02759696337912,4)</f>
        <v>2.0276</v>
      </c>
      <c r="D371" s="25">
        <f>F371</f>
        <v>2.1574</v>
      </c>
      <c r="E371" s="25">
        <f>F371</f>
        <v>2.1574</v>
      </c>
      <c r="F371" s="25">
        <f>ROUND(2.1574,4)</f>
        <v>2.1574</v>
      </c>
      <c r="G371" s="24"/>
      <c r="H371" s="36"/>
    </row>
    <row r="372" spans="1:8" ht="12.75" customHeight="1">
      <c r="A372" s="22">
        <v>43448</v>
      </c>
      <c r="B372" s="22"/>
      <c r="C372" s="25">
        <f>ROUND(2.02759696337912,4)</f>
        <v>2.0276</v>
      </c>
      <c r="D372" s="25">
        <f>F372</f>
        <v>2.1959</v>
      </c>
      <c r="E372" s="25">
        <f>F372</f>
        <v>2.1959</v>
      </c>
      <c r="F372" s="25">
        <f>ROUND(2.1959,4)</f>
        <v>2.1959</v>
      </c>
      <c r="G372" s="24"/>
      <c r="H372" s="36"/>
    </row>
    <row r="373" spans="1:8" ht="12.75" customHeight="1">
      <c r="A373" s="22">
        <v>43542</v>
      </c>
      <c r="B373" s="22"/>
      <c r="C373" s="25">
        <f>ROUND(2.02759696337912,4)</f>
        <v>2.0276</v>
      </c>
      <c r="D373" s="25">
        <f>F373</f>
        <v>2.3271</v>
      </c>
      <c r="E373" s="25">
        <f>F373</f>
        <v>2.3271</v>
      </c>
      <c r="F373" s="25">
        <f>ROUND(2.3271,4)</f>
        <v>2.3271</v>
      </c>
      <c r="G373" s="24"/>
      <c r="H373" s="36"/>
    </row>
    <row r="374" spans="1:8" ht="12.75" customHeight="1">
      <c r="A374" s="22">
        <v>43630</v>
      </c>
      <c r="B374" s="22"/>
      <c r="C374" s="25">
        <f>ROUND(2.02759696337912,4)</f>
        <v>2.0276</v>
      </c>
      <c r="D374" s="25">
        <f>F374</f>
        <v>2.3871</v>
      </c>
      <c r="E374" s="25">
        <f>F374</f>
        <v>2.3871</v>
      </c>
      <c r="F374" s="25">
        <f>ROUND(2.3871,4)</f>
        <v>2.3871</v>
      </c>
      <c r="G374" s="24"/>
      <c r="H374" s="36"/>
    </row>
    <row r="375" spans="1:8" ht="12.75" customHeight="1">
      <c r="A375" s="22">
        <v>43724</v>
      </c>
      <c r="B375" s="22"/>
      <c r="C375" s="25">
        <f>ROUND(2.02759696337912,4)</f>
        <v>2.0276</v>
      </c>
      <c r="D375" s="25">
        <f>F375</f>
        <v>2.4489</v>
      </c>
      <c r="E375" s="25">
        <f>F375</f>
        <v>2.4489</v>
      </c>
      <c r="F375" s="25">
        <f>ROUND(2.4489,4)</f>
        <v>2.4489</v>
      </c>
      <c r="G375" s="24"/>
      <c r="H375" s="36"/>
    </row>
    <row r="376" spans="1:8" ht="12.75" customHeight="1">
      <c r="A376" s="22">
        <v>43812</v>
      </c>
      <c r="B376" s="22"/>
      <c r="C376" s="25">
        <f>ROUND(2.02759696337912,4)</f>
        <v>2.0276</v>
      </c>
      <c r="D376" s="25">
        <f>F376</f>
        <v>2.5126</v>
      </c>
      <c r="E376" s="25">
        <f>F376</f>
        <v>2.5126</v>
      </c>
      <c r="F376" s="25">
        <f>ROUND(2.5126,4)</f>
        <v>2.5126</v>
      </c>
      <c r="G376" s="24"/>
      <c r="H376" s="36"/>
    </row>
    <row r="377" spans="1:8" ht="12.75" customHeight="1">
      <c r="A377" s="22" t="s">
        <v>73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43178</v>
      </c>
      <c r="B378" s="22"/>
      <c r="C378" s="25">
        <f>ROUND(15.0928656666667,4)</f>
        <v>15.0929</v>
      </c>
      <c r="D378" s="25">
        <f>F378</f>
        <v>15.3767</v>
      </c>
      <c r="E378" s="25">
        <f>F378</f>
        <v>15.3767</v>
      </c>
      <c r="F378" s="25">
        <f>ROUND(15.3767,4)</f>
        <v>15.3767</v>
      </c>
      <c r="G378" s="24"/>
      <c r="H378" s="36"/>
    </row>
    <row r="379" spans="1:8" ht="12.75" customHeight="1">
      <c r="A379" s="22">
        <v>43269</v>
      </c>
      <c r="B379" s="22"/>
      <c r="C379" s="25">
        <f>ROUND(15.0928656666667,4)</f>
        <v>15.0929</v>
      </c>
      <c r="D379" s="25">
        <f>F379</f>
        <v>15.6785</v>
      </c>
      <c r="E379" s="25">
        <f>F379</f>
        <v>15.6785</v>
      </c>
      <c r="F379" s="25">
        <f>ROUND(15.6785,4)</f>
        <v>15.6785</v>
      </c>
      <c r="G379" s="24"/>
      <c r="H379" s="36"/>
    </row>
    <row r="380" spans="1:8" ht="12.75" customHeight="1">
      <c r="A380" s="22">
        <v>43360</v>
      </c>
      <c r="B380" s="22"/>
      <c r="C380" s="25">
        <f>ROUND(15.0928656666667,4)</f>
        <v>15.0929</v>
      </c>
      <c r="D380" s="25">
        <f>F380</f>
        <v>15.9836</v>
      </c>
      <c r="E380" s="25">
        <f>F380</f>
        <v>15.9836</v>
      </c>
      <c r="F380" s="25">
        <f>ROUND(15.9836,4)</f>
        <v>15.9836</v>
      </c>
      <c r="G380" s="24"/>
      <c r="H380" s="36"/>
    </row>
    <row r="381" spans="1:8" ht="12.75" customHeight="1">
      <c r="A381" s="22">
        <v>43448</v>
      </c>
      <c r="B381" s="22"/>
      <c r="C381" s="25">
        <f>ROUND(15.0928656666667,4)</f>
        <v>15.0929</v>
      </c>
      <c r="D381" s="25">
        <f>F381</f>
        <v>16.2848</v>
      </c>
      <c r="E381" s="25">
        <f>F381</f>
        <v>16.2848</v>
      </c>
      <c r="F381" s="25">
        <f>ROUND(16.2848,4)</f>
        <v>16.2848</v>
      </c>
      <c r="G381" s="24"/>
      <c r="H381" s="36"/>
    </row>
    <row r="382" spans="1:8" ht="12.75" customHeight="1">
      <c r="A382" s="22">
        <v>43542</v>
      </c>
      <c r="B382" s="22"/>
      <c r="C382" s="25">
        <f>ROUND(15.0928656666667,4)</f>
        <v>15.0929</v>
      </c>
      <c r="D382" s="25">
        <f>F382</f>
        <v>16.573</v>
      </c>
      <c r="E382" s="25">
        <f>F382</f>
        <v>16.573</v>
      </c>
      <c r="F382" s="25">
        <f>ROUND(16.573,4)</f>
        <v>16.573</v>
      </c>
      <c r="G382" s="24"/>
      <c r="H382" s="36"/>
    </row>
    <row r="383" spans="1:8" ht="12.75" customHeight="1">
      <c r="A383" s="22">
        <v>43630</v>
      </c>
      <c r="B383" s="22"/>
      <c r="C383" s="25">
        <f>ROUND(15.0928656666667,4)</f>
        <v>15.0929</v>
      </c>
      <c r="D383" s="25">
        <f>F383</f>
        <v>16.9378</v>
      </c>
      <c r="E383" s="25">
        <f>F383</f>
        <v>16.9378</v>
      </c>
      <c r="F383" s="25">
        <f>ROUND(16.9378,4)</f>
        <v>16.9378</v>
      </c>
      <c r="G383" s="24"/>
      <c r="H383" s="36"/>
    </row>
    <row r="384" spans="1:8" ht="12.75" customHeight="1">
      <c r="A384" s="22">
        <v>43724</v>
      </c>
      <c r="B384" s="22"/>
      <c r="C384" s="25">
        <f>ROUND(15.0928656666667,4)</f>
        <v>15.0929</v>
      </c>
      <c r="D384" s="25">
        <f>F384</f>
        <v>17.3455</v>
      </c>
      <c r="E384" s="25">
        <f>F384</f>
        <v>17.3455</v>
      </c>
      <c r="F384" s="25">
        <f>ROUND(17.3455,4)</f>
        <v>17.3455</v>
      </c>
      <c r="G384" s="24"/>
      <c r="H384" s="36"/>
    </row>
    <row r="385" spans="1:8" ht="12.75" customHeight="1">
      <c r="A385" s="22">
        <v>43812</v>
      </c>
      <c r="B385" s="22"/>
      <c r="C385" s="25">
        <f>ROUND(15.0928656666667,4)</f>
        <v>15.0929</v>
      </c>
      <c r="D385" s="25">
        <f>F385</f>
        <v>17.7317</v>
      </c>
      <c r="E385" s="25">
        <f>F385</f>
        <v>17.7317</v>
      </c>
      <c r="F385" s="25">
        <f>ROUND(17.7317,4)</f>
        <v>17.7317</v>
      </c>
      <c r="G385" s="24"/>
      <c r="H385" s="36"/>
    </row>
    <row r="386" spans="1:8" ht="12.75" customHeight="1">
      <c r="A386" s="22" t="s">
        <v>74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43178</v>
      </c>
      <c r="B387" s="22"/>
      <c r="C387" s="25">
        <f>ROUND(12.8732380134391,4)</f>
        <v>12.8732</v>
      </c>
      <c r="D387" s="25">
        <f>F387</f>
        <v>13.1282</v>
      </c>
      <c r="E387" s="25">
        <f>F387</f>
        <v>13.1282</v>
      </c>
      <c r="F387" s="25">
        <f>ROUND(13.1282,4)</f>
        <v>13.1282</v>
      </c>
      <c r="G387" s="24"/>
      <c r="H387" s="36"/>
    </row>
    <row r="388" spans="1:8" ht="12.75" customHeight="1">
      <c r="A388" s="22">
        <v>43269</v>
      </c>
      <c r="B388" s="22"/>
      <c r="C388" s="25">
        <f>ROUND(12.8732380134391,4)</f>
        <v>12.8732</v>
      </c>
      <c r="D388" s="25">
        <f>F388</f>
        <v>13.3996</v>
      </c>
      <c r="E388" s="25">
        <f>F388</f>
        <v>13.3996</v>
      </c>
      <c r="F388" s="25">
        <f>ROUND(13.3996,4)</f>
        <v>13.3996</v>
      </c>
      <c r="G388" s="24"/>
      <c r="H388" s="36"/>
    </row>
    <row r="389" spans="1:8" ht="12.75" customHeight="1">
      <c r="A389" s="22">
        <v>43360</v>
      </c>
      <c r="B389" s="22"/>
      <c r="C389" s="25">
        <f>ROUND(12.8732380134391,4)</f>
        <v>12.8732</v>
      </c>
      <c r="D389" s="25">
        <f>F389</f>
        <v>13.6738</v>
      </c>
      <c r="E389" s="25">
        <f>F389</f>
        <v>13.6738</v>
      </c>
      <c r="F389" s="25">
        <f>ROUND(13.6738,4)</f>
        <v>13.6738</v>
      </c>
      <c r="G389" s="24"/>
      <c r="H389" s="36"/>
    </row>
    <row r="390" spans="1:8" ht="12.75" customHeight="1">
      <c r="A390" s="22">
        <v>43448</v>
      </c>
      <c r="B390" s="22"/>
      <c r="C390" s="25">
        <f>ROUND(12.8732380134391,4)</f>
        <v>12.8732</v>
      </c>
      <c r="D390" s="25">
        <f>F390</f>
        <v>13.9475</v>
      </c>
      <c r="E390" s="25">
        <f>F390</f>
        <v>13.9475</v>
      </c>
      <c r="F390" s="25">
        <f>ROUND(13.9475,4)</f>
        <v>13.9475</v>
      </c>
      <c r="G390" s="24"/>
      <c r="H390" s="36"/>
    </row>
    <row r="391" spans="1:8" ht="12.75" customHeight="1">
      <c r="A391" s="22">
        <v>43542</v>
      </c>
      <c r="B391" s="22"/>
      <c r="C391" s="25">
        <f>ROUND(12.8732380134391,4)</f>
        <v>12.8732</v>
      </c>
      <c r="D391" s="25">
        <f>F391</f>
        <v>14.2009</v>
      </c>
      <c r="E391" s="25">
        <f>F391</f>
        <v>14.2009</v>
      </c>
      <c r="F391" s="25">
        <f>ROUND(14.2009,4)</f>
        <v>14.2009</v>
      </c>
      <c r="G391" s="24"/>
      <c r="H391" s="36"/>
    </row>
    <row r="392" spans="1:8" ht="12.75" customHeight="1">
      <c r="A392" s="22">
        <v>43630</v>
      </c>
      <c r="B392" s="22"/>
      <c r="C392" s="25">
        <f>ROUND(12.8732380134391,4)</f>
        <v>12.8732</v>
      </c>
      <c r="D392" s="25">
        <f>F392</f>
        <v>14.8024</v>
      </c>
      <c r="E392" s="25">
        <f>F392</f>
        <v>14.8024</v>
      </c>
      <c r="F392" s="25">
        <f>ROUND(14.8024,4)</f>
        <v>14.8024</v>
      </c>
      <c r="G392" s="24"/>
      <c r="H392" s="36"/>
    </row>
    <row r="393" spans="1:8" ht="12.75" customHeight="1">
      <c r="A393" s="22">
        <v>43724</v>
      </c>
      <c r="B393" s="22"/>
      <c r="C393" s="25">
        <f>ROUND(12.8732380134391,4)</f>
        <v>12.8732</v>
      </c>
      <c r="D393" s="25">
        <f>F393</f>
        <v>15.0811</v>
      </c>
      <c r="E393" s="25">
        <f>F393</f>
        <v>15.0811</v>
      </c>
      <c r="F393" s="25">
        <f>ROUND(15.0811,4)</f>
        <v>15.0811</v>
      </c>
      <c r="G393" s="24"/>
      <c r="H393" s="36"/>
    </row>
    <row r="394" spans="1:8" ht="12.75" customHeight="1">
      <c r="A394" s="22">
        <v>43812</v>
      </c>
      <c r="B394" s="22"/>
      <c r="C394" s="25">
        <f>ROUND(12.8732380134391,4)</f>
        <v>12.8732</v>
      </c>
      <c r="D394" s="25">
        <f>F394</f>
        <v>15.3497</v>
      </c>
      <c r="E394" s="25">
        <f>F394</f>
        <v>15.3497</v>
      </c>
      <c r="F394" s="25">
        <f>ROUND(15.3497,4)</f>
        <v>15.3497</v>
      </c>
      <c r="G394" s="24"/>
      <c r="H394" s="36"/>
    </row>
    <row r="395" spans="1:8" ht="12.75" customHeight="1">
      <c r="A395" s="22" t="s">
        <v>75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43178</v>
      </c>
      <c r="B396" s="22"/>
      <c r="C396" s="25">
        <f>ROUND(17.061408,4)</f>
        <v>17.0614</v>
      </c>
      <c r="D396" s="25">
        <f>F396</f>
        <v>17.3386</v>
      </c>
      <c r="E396" s="25">
        <f>F396</f>
        <v>17.3386</v>
      </c>
      <c r="F396" s="25">
        <f>ROUND(17.3386,4)</f>
        <v>17.3386</v>
      </c>
      <c r="G396" s="24"/>
      <c r="H396" s="36"/>
    </row>
    <row r="397" spans="1:8" ht="12.75" customHeight="1">
      <c r="A397" s="22">
        <v>43269</v>
      </c>
      <c r="B397" s="22"/>
      <c r="C397" s="25">
        <f>ROUND(17.061408,4)</f>
        <v>17.0614</v>
      </c>
      <c r="D397" s="25">
        <f>F397</f>
        <v>17.6299</v>
      </c>
      <c r="E397" s="25">
        <f>F397</f>
        <v>17.6299</v>
      </c>
      <c r="F397" s="25">
        <f>ROUND(17.6299,4)</f>
        <v>17.6299</v>
      </c>
      <c r="G397" s="24"/>
      <c r="H397" s="36"/>
    </row>
    <row r="398" spans="1:8" ht="12.75" customHeight="1">
      <c r="A398" s="22">
        <v>43360</v>
      </c>
      <c r="B398" s="22"/>
      <c r="C398" s="25">
        <f>ROUND(17.061408,4)</f>
        <v>17.0614</v>
      </c>
      <c r="D398" s="25">
        <f>F398</f>
        <v>17.9193</v>
      </c>
      <c r="E398" s="25">
        <f>F398</f>
        <v>17.9193</v>
      </c>
      <c r="F398" s="25">
        <f>ROUND(17.9193,4)</f>
        <v>17.9193</v>
      </c>
      <c r="G398" s="24"/>
      <c r="H398" s="36"/>
    </row>
    <row r="399" spans="1:8" ht="12.75" customHeight="1">
      <c r="A399" s="22">
        <v>43448</v>
      </c>
      <c r="B399" s="22"/>
      <c r="C399" s="25">
        <f>ROUND(17.061408,4)</f>
        <v>17.0614</v>
      </c>
      <c r="D399" s="25">
        <f>F399</f>
        <v>18.2028</v>
      </c>
      <c r="E399" s="25">
        <f>F399</f>
        <v>18.2028</v>
      </c>
      <c r="F399" s="25">
        <f>ROUND(18.2028,4)</f>
        <v>18.2028</v>
      </c>
      <c r="G399" s="24"/>
      <c r="H399" s="36"/>
    </row>
    <row r="400" spans="1:8" ht="12.75" customHeight="1">
      <c r="A400" s="22">
        <v>43542</v>
      </c>
      <c r="B400" s="22"/>
      <c r="C400" s="25">
        <f>ROUND(17.061408,4)</f>
        <v>17.0614</v>
      </c>
      <c r="D400" s="25">
        <f>F400</f>
        <v>18.5191</v>
      </c>
      <c r="E400" s="25">
        <f>F400</f>
        <v>18.5191</v>
      </c>
      <c r="F400" s="25">
        <f>ROUND(18.5191,4)</f>
        <v>18.5191</v>
      </c>
      <c r="G400" s="24"/>
      <c r="H400" s="36"/>
    </row>
    <row r="401" spans="1:8" ht="12.75" customHeight="1">
      <c r="A401" s="22">
        <v>43630</v>
      </c>
      <c r="B401" s="22"/>
      <c r="C401" s="25">
        <f>ROUND(17.061408,4)</f>
        <v>17.0614</v>
      </c>
      <c r="D401" s="25">
        <f>F401</f>
        <v>18.8192</v>
      </c>
      <c r="E401" s="25">
        <f>F401</f>
        <v>18.8192</v>
      </c>
      <c r="F401" s="25">
        <f>ROUND(18.8192,4)</f>
        <v>18.8192</v>
      </c>
      <c r="G401" s="24"/>
      <c r="H401" s="36"/>
    </row>
    <row r="402" spans="1:8" ht="12.75" customHeight="1">
      <c r="A402" s="22">
        <v>43724</v>
      </c>
      <c r="B402" s="22"/>
      <c r="C402" s="25">
        <f>ROUND(17.061408,4)</f>
        <v>17.0614</v>
      </c>
      <c r="D402" s="25">
        <f>F402</f>
        <v>18.8918</v>
      </c>
      <c r="E402" s="25">
        <f>F402</f>
        <v>18.8918</v>
      </c>
      <c r="F402" s="25">
        <f>ROUND(18.8918,4)</f>
        <v>18.8918</v>
      </c>
      <c r="G402" s="24"/>
      <c r="H402" s="36"/>
    </row>
    <row r="403" spans="1:8" ht="12.75" customHeight="1">
      <c r="A403" s="22">
        <v>43812</v>
      </c>
      <c r="B403" s="22"/>
      <c r="C403" s="25">
        <f>ROUND(17.061408,4)</f>
        <v>17.0614</v>
      </c>
      <c r="D403" s="25">
        <f>F403</f>
        <v>19.4445</v>
      </c>
      <c r="E403" s="25">
        <f>F403</f>
        <v>19.4445</v>
      </c>
      <c r="F403" s="25">
        <f>ROUND(19.4445,4)</f>
        <v>19.4445</v>
      </c>
      <c r="G403" s="24"/>
      <c r="H403" s="36"/>
    </row>
    <row r="404" spans="1:8" ht="12.75" customHeight="1">
      <c r="A404" s="22" t="s">
        <v>76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43178</v>
      </c>
      <c r="B405" s="22"/>
      <c r="C405" s="25">
        <f>ROUND(1.62933311165536,4)</f>
        <v>1.6293</v>
      </c>
      <c r="D405" s="25">
        <f>F405</f>
        <v>1.6514</v>
      </c>
      <c r="E405" s="25">
        <f>F405</f>
        <v>1.6514</v>
      </c>
      <c r="F405" s="25">
        <f>ROUND(1.6514,4)</f>
        <v>1.6514</v>
      </c>
      <c r="G405" s="24"/>
      <c r="H405" s="36"/>
    </row>
    <row r="406" spans="1:8" ht="12.75" customHeight="1">
      <c r="A406" s="22">
        <v>43269</v>
      </c>
      <c r="B406" s="22"/>
      <c r="C406" s="25">
        <f>ROUND(1.62933311165536,4)</f>
        <v>1.6293</v>
      </c>
      <c r="D406" s="25">
        <f>F406</f>
        <v>1.6758</v>
      </c>
      <c r="E406" s="25">
        <f>F406</f>
        <v>1.6758</v>
      </c>
      <c r="F406" s="25">
        <f>ROUND(1.6758,4)</f>
        <v>1.6758</v>
      </c>
      <c r="G406" s="24"/>
      <c r="H406" s="36"/>
    </row>
    <row r="407" spans="1:8" ht="12.75" customHeight="1">
      <c r="A407" s="22">
        <v>43360</v>
      </c>
      <c r="B407" s="22"/>
      <c r="C407" s="25">
        <f>ROUND(1.62933311165536,4)</f>
        <v>1.6293</v>
      </c>
      <c r="D407" s="25">
        <f>F407</f>
        <v>1.6995</v>
      </c>
      <c r="E407" s="25">
        <f>F407</f>
        <v>1.6995</v>
      </c>
      <c r="F407" s="25">
        <f>ROUND(1.6995,4)</f>
        <v>1.6995</v>
      </c>
      <c r="G407" s="24"/>
      <c r="H407" s="36"/>
    </row>
    <row r="408" spans="1:8" ht="12.75" customHeight="1">
      <c r="A408" s="22">
        <v>43448</v>
      </c>
      <c r="B408" s="22"/>
      <c r="C408" s="25">
        <f>ROUND(1.62933311165536,4)</f>
        <v>1.6293</v>
      </c>
      <c r="D408" s="25">
        <f>F408</f>
        <v>1.7219</v>
      </c>
      <c r="E408" s="25">
        <f>F408</f>
        <v>1.7219</v>
      </c>
      <c r="F408" s="25">
        <f>ROUND(1.7219,4)</f>
        <v>1.7219</v>
      </c>
      <c r="G408" s="24"/>
      <c r="H408" s="36"/>
    </row>
    <row r="409" spans="1:8" ht="12.75" customHeight="1">
      <c r="A409" s="22">
        <v>43542</v>
      </c>
      <c r="B409" s="22"/>
      <c r="C409" s="25">
        <f>ROUND(1.62933311165536,4)</f>
        <v>1.6293</v>
      </c>
      <c r="D409" s="25">
        <f>F409</f>
        <v>1.8135</v>
      </c>
      <c r="E409" s="25">
        <f>F409</f>
        <v>1.8135</v>
      </c>
      <c r="F409" s="25">
        <f>ROUND(1.8135,4)</f>
        <v>1.8135</v>
      </c>
      <c r="G409" s="24"/>
      <c r="H409" s="36"/>
    </row>
    <row r="410" spans="1:8" ht="12.75" customHeight="1">
      <c r="A410" s="22">
        <v>43630</v>
      </c>
      <c r="B410" s="22"/>
      <c r="C410" s="25">
        <f>ROUND(1.62933311165536,4)</f>
        <v>1.6293</v>
      </c>
      <c r="D410" s="25">
        <f>F410</f>
        <v>1.8414</v>
      </c>
      <c r="E410" s="25">
        <f>F410</f>
        <v>1.8414</v>
      </c>
      <c r="F410" s="25">
        <f>ROUND(1.8414,4)</f>
        <v>1.8414</v>
      </c>
      <c r="G410" s="24"/>
      <c r="H410" s="36"/>
    </row>
    <row r="411" spans="1:8" ht="12.75" customHeight="1">
      <c r="A411" s="22">
        <v>43724</v>
      </c>
      <c r="B411" s="22"/>
      <c r="C411" s="25">
        <f>ROUND(1.62933311165536,4)</f>
        <v>1.6293</v>
      </c>
      <c r="D411" s="25">
        <f>F411</f>
        <v>1.8684</v>
      </c>
      <c r="E411" s="25">
        <f>F411</f>
        <v>1.8684</v>
      </c>
      <c r="F411" s="25">
        <f>ROUND(1.8684,4)</f>
        <v>1.8684</v>
      </c>
      <c r="G411" s="24"/>
      <c r="H411" s="36"/>
    </row>
    <row r="412" spans="1:8" ht="12.75" customHeight="1">
      <c r="A412" s="22">
        <v>43812</v>
      </c>
      <c r="B412" s="22"/>
      <c r="C412" s="25">
        <f>ROUND(1.62933311165536,4)</f>
        <v>1.6293</v>
      </c>
      <c r="D412" s="25">
        <f>F412</f>
        <v>1.897</v>
      </c>
      <c r="E412" s="25">
        <f>F412</f>
        <v>1.897</v>
      </c>
      <c r="F412" s="25">
        <f>ROUND(1.897,4)</f>
        <v>1.897</v>
      </c>
      <c r="G412" s="24"/>
      <c r="H412" s="36"/>
    </row>
    <row r="413" spans="1:8" ht="12.75" customHeight="1">
      <c r="A413" s="22" t="s">
        <v>77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43178</v>
      </c>
      <c r="B414" s="22"/>
      <c r="C414" s="28">
        <f>ROUND(0.112393583390922,6)</f>
        <v>0.112394</v>
      </c>
      <c r="D414" s="28">
        <f>F414</f>
        <v>0.114431</v>
      </c>
      <c r="E414" s="28">
        <f>F414</f>
        <v>0.114431</v>
      </c>
      <c r="F414" s="28">
        <f>ROUND(0.114431,6)</f>
        <v>0.114431</v>
      </c>
      <c r="G414" s="24"/>
      <c r="H414" s="36"/>
    </row>
    <row r="415" spans="1:8" ht="12.75" customHeight="1">
      <c r="A415" s="22">
        <v>43269</v>
      </c>
      <c r="B415" s="22"/>
      <c r="C415" s="28">
        <f>ROUND(0.112393583390922,6)</f>
        <v>0.112394</v>
      </c>
      <c r="D415" s="28">
        <f>F415</f>
        <v>0.116586</v>
      </c>
      <c r="E415" s="28">
        <f>F415</f>
        <v>0.116586</v>
      </c>
      <c r="F415" s="28">
        <f>ROUND(0.116586,6)</f>
        <v>0.116586</v>
      </c>
      <c r="G415" s="24"/>
      <c r="H415" s="36"/>
    </row>
    <row r="416" spans="1:8" ht="12.75" customHeight="1">
      <c r="A416" s="22">
        <v>43360</v>
      </c>
      <c r="B416" s="22"/>
      <c r="C416" s="28">
        <f>ROUND(0.112393583390922,6)</f>
        <v>0.112394</v>
      </c>
      <c r="D416" s="28">
        <f>F416</f>
        <v>0.118793</v>
      </c>
      <c r="E416" s="28">
        <f>F416</f>
        <v>0.118793</v>
      </c>
      <c r="F416" s="28">
        <f>ROUND(0.118793,6)</f>
        <v>0.118793</v>
      </c>
      <c r="G416" s="24"/>
      <c r="H416" s="36"/>
    </row>
    <row r="417" spans="1:8" ht="12.75" customHeight="1">
      <c r="A417" s="22">
        <v>43448</v>
      </c>
      <c r="B417" s="22"/>
      <c r="C417" s="28">
        <f>ROUND(0.112393583390922,6)</f>
        <v>0.112394</v>
      </c>
      <c r="D417" s="28">
        <f>F417</f>
        <v>0.120985</v>
      </c>
      <c r="E417" s="28">
        <f>F417</f>
        <v>0.120985</v>
      </c>
      <c r="F417" s="28">
        <f>ROUND(0.120985,6)</f>
        <v>0.120985</v>
      </c>
      <c r="G417" s="24"/>
      <c r="H417" s="36"/>
    </row>
    <row r="418" spans="1:8" ht="12.75" customHeight="1">
      <c r="A418" s="22">
        <v>43542</v>
      </c>
      <c r="B418" s="22"/>
      <c r="C418" s="28">
        <f>ROUND(0.112393583390922,6)</f>
        <v>0.112394</v>
      </c>
      <c r="D418" s="28">
        <f>F418</f>
        <v>0.123472</v>
      </c>
      <c r="E418" s="28">
        <f>F418</f>
        <v>0.123472</v>
      </c>
      <c r="F418" s="28">
        <f>ROUND(0.123472,6)</f>
        <v>0.123472</v>
      </c>
      <c r="G418" s="24"/>
      <c r="H418" s="36"/>
    </row>
    <row r="419" spans="1:8" ht="12.75" customHeight="1">
      <c r="A419" s="22">
        <v>43630</v>
      </c>
      <c r="B419" s="22"/>
      <c r="C419" s="28">
        <f>ROUND(0.112393583390922,6)</f>
        <v>0.112394</v>
      </c>
      <c r="D419" s="28">
        <f>F419</f>
        <v>0.129047</v>
      </c>
      <c r="E419" s="28">
        <f>F419</f>
        <v>0.129047</v>
      </c>
      <c r="F419" s="28">
        <f>ROUND(0.129047,6)</f>
        <v>0.129047</v>
      </c>
      <c r="G419" s="24"/>
      <c r="H419" s="36"/>
    </row>
    <row r="420" spans="1:8" ht="12.75" customHeight="1">
      <c r="A420" s="22">
        <v>43724</v>
      </c>
      <c r="B420" s="22"/>
      <c r="C420" s="28">
        <f>ROUND(0.112393583390922,6)</f>
        <v>0.112394</v>
      </c>
      <c r="D420" s="28">
        <f>F420</f>
        <v>0.131078</v>
      </c>
      <c r="E420" s="28">
        <f>F420</f>
        <v>0.131078</v>
      </c>
      <c r="F420" s="28">
        <f>ROUND(0.131078,6)</f>
        <v>0.131078</v>
      </c>
      <c r="G420" s="24"/>
      <c r="H420" s="36"/>
    </row>
    <row r="421" spans="1:8" ht="12.75" customHeight="1">
      <c r="A421" s="22">
        <v>43812</v>
      </c>
      <c r="B421" s="22"/>
      <c r="C421" s="28">
        <f>ROUND(0.112393583390922,6)</f>
        <v>0.112394</v>
      </c>
      <c r="D421" s="28">
        <f>F421</f>
        <v>0.132913</v>
      </c>
      <c r="E421" s="28">
        <f>F421</f>
        <v>0.132913</v>
      </c>
      <c r="F421" s="28">
        <f>ROUND(0.132913,6)</f>
        <v>0.132913</v>
      </c>
      <c r="G421" s="24"/>
      <c r="H421" s="36"/>
    </row>
    <row r="422" spans="1:8" ht="12.75" customHeight="1">
      <c r="A422" s="22" t="s">
        <v>78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43178</v>
      </c>
      <c r="B423" s="22"/>
      <c r="C423" s="25">
        <f>ROUND(0.123617310304677,4)</f>
        <v>0.1236</v>
      </c>
      <c r="D423" s="25">
        <f>F423</f>
        <v>0.1233</v>
      </c>
      <c r="E423" s="25">
        <f>F423</f>
        <v>0.1233</v>
      </c>
      <c r="F423" s="25">
        <f>ROUND(0.1233,4)</f>
        <v>0.1233</v>
      </c>
      <c r="G423" s="24"/>
      <c r="H423" s="36"/>
    </row>
    <row r="424" spans="1:8" ht="12.75" customHeight="1">
      <c r="A424" s="22">
        <v>43269</v>
      </c>
      <c r="B424" s="22"/>
      <c r="C424" s="25">
        <f>ROUND(0.123617310304677,4)</f>
        <v>0.1236</v>
      </c>
      <c r="D424" s="25">
        <f>F424</f>
        <v>0.1225</v>
      </c>
      <c r="E424" s="25">
        <f>F424</f>
        <v>0.1225</v>
      </c>
      <c r="F424" s="25">
        <f>ROUND(0.1225,4)</f>
        <v>0.1225</v>
      </c>
      <c r="G424" s="24"/>
      <c r="H424" s="36"/>
    </row>
    <row r="425" spans="1:8" ht="12.75" customHeight="1">
      <c r="A425" s="22">
        <v>43360</v>
      </c>
      <c r="B425" s="22"/>
      <c r="C425" s="25">
        <f>ROUND(0.123617310304677,4)</f>
        <v>0.1236</v>
      </c>
      <c r="D425" s="25">
        <f>F425</f>
        <v>0.1218</v>
      </c>
      <c r="E425" s="25">
        <f>F425</f>
        <v>0.1218</v>
      </c>
      <c r="F425" s="25">
        <f>ROUND(0.1218,4)</f>
        <v>0.1218</v>
      </c>
      <c r="G425" s="24"/>
      <c r="H425" s="36"/>
    </row>
    <row r="426" spans="1:8" ht="12.75" customHeight="1">
      <c r="A426" s="22">
        <v>43448</v>
      </c>
      <c r="B426" s="22"/>
      <c r="C426" s="25">
        <f>ROUND(0.123617310304677,4)</f>
        <v>0.1236</v>
      </c>
      <c r="D426" s="25">
        <f>F426</f>
        <v>0.1209</v>
      </c>
      <c r="E426" s="25">
        <f>F426</f>
        <v>0.1209</v>
      </c>
      <c r="F426" s="25">
        <f>ROUND(0.1209,4)</f>
        <v>0.1209</v>
      </c>
      <c r="G426" s="24"/>
      <c r="H426" s="36"/>
    </row>
    <row r="427" spans="1:8" ht="12.75" customHeight="1">
      <c r="A427" s="22">
        <v>43542</v>
      </c>
      <c r="B427" s="22"/>
      <c r="C427" s="25">
        <f>ROUND(0.123617310304677,4)</f>
        <v>0.1236</v>
      </c>
      <c r="D427" s="25">
        <f>F427</f>
        <v>0.1199</v>
      </c>
      <c r="E427" s="25">
        <f>F427</f>
        <v>0.1199</v>
      </c>
      <c r="F427" s="25">
        <f>ROUND(0.1199,4)</f>
        <v>0.1199</v>
      </c>
      <c r="G427" s="24"/>
      <c r="H427" s="36"/>
    </row>
    <row r="428" spans="1:8" ht="12.75" customHeight="1">
      <c r="A428" s="22">
        <v>43630</v>
      </c>
      <c r="B428" s="22"/>
      <c r="C428" s="25">
        <f>ROUND(0.123617310304677,4)</f>
        <v>0.1236</v>
      </c>
      <c r="D428" s="25">
        <f>F428</f>
        <v>0.119</v>
      </c>
      <c r="E428" s="25">
        <f>F428</f>
        <v>0.119</v>
      </c>
      <c r="F428" s="25">
        <f>ROUND(0.119,4)</f>
        <v>0.119</v>
      </c>
      <c r="G428" s="24"/>
      <c r="H428" s="36"/>
    </row>
    <row r="429" spans="1:8" ht="12.75" customHeight="1">
      <c r="A429" s="22">
        <v>43724</v>
      </c>
      <c r="B429" s="22"/>
      <c r="C429" s="25">
        <f>ROUND(0.123617310304677,4)</f>
        <v>0.1236</v>
      </c>
      <c r="D429" s="25">
        <f>F429</f>
        <v>0.1191</v>
      </c>
      <c r="E429" s="25">
        <f>F429</f>
        <v>0.1191</v>
      </c>
      <c r="F429" s="25">
        <f>ROUND(0.1191,4)</f>
        <v>0.1191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43178</v>
      </c>
      <c r="B431" s="22"/>
      <c r="C431" s="25">
        <f>ROUND(1.52226643247183,4)</f>
        <v>1.5223</v>
      </c>
      <c r="D431" s="25">
        <f>F431</f>
        <v>1.5482</v>
      </c>
      <c r="E431" s="25">
        <f>F431</f>
        <v>1.5482</v>
      </c>
      <c r="F431" s="25">
        <f>ROUND(1.5482,4)</f>
        <v>1.5482</v>
      </c>
      <c r="G431" s="24"/>
      <c r="H431" s="36"/>
    </row>
    <row r="432" spans="1:8" ht="12.75" customHeight="1">
      <c r="A432" s="22">
        <v>43269</v>
      </c>
      <c r="B432" s="22"/>
      <c r="C432" s="25">
        <f>ROUND(1.52226643247183,4)</f>
        <v>1.5223</v>
      </c>
      <c r="D432" s="25">
        <f>F432</f>
        <v>1.5736</v>
      </c>
      <c r="E432" s="25">
        <f>F432</f>
        <v>1.5736</v>
      </c>
      <c r="F432" s="25">
        <f>ROUND(1.5736,4)</f>
        <v>1.5736</v>
      </c>
      <c r="G432" s="24"/>
      <c r="H432" s="36"/>
    </row>
    <row r="433" spans="1:8" ht="12.75" customHeight="1">
      <c r="A433" s="22">
        <v>43360</v>
      </c>
      <c r="B433" s="22"/>
      <c r="C433" s="25">
        <f>ROUND(1.52226643247183,4)</f>
        <v>1.5223</v>
      </c>
      <c r="D433" s="25">
        <f>F433</f>
        <v>1.5993</v>
      </c>
      <c r="E433" s="25">
        <f>F433</f>
        <v>1.5993</v>
      </c>
      <c r="F433" s="25">
        <f>ROUND(1.5993,4)</f>
        <v>1.5993</v>
      </c>
      <c r="G433" s="24"/>
      <c r="H433" s="36"/>
    </row>
    <row r="434" spans="1:8" ht="12.75" customHeight="1">
      <c r="A434" s="22">
        <v>43448</v>
      </c>
      <c r="B434" s="22"/>
      <c r="C434" s="25">
        <f>ROUND(1.52226643247183,4)</f>
        <v>1.5223</v>
      </c>
      <c r="D434" s="25">
        <f>F434</f>
        <v>1.6235</v>
      </c>
      <c r="E434" s="25">
        <f>F434</f>
        <v>1.6235</v>
      </c>
      <c r="F434" s="25">
        <f>ROUND(1.6235,4)</f>
        <v>1.6235</v>
      </c>
      <c r="G434" s="24"/>
      <c r="H434" s="36"/>
    </row>
    <row r="435" spans="1:8" ht="12.75" customHeight="1">
      <c r="A435" s="22">
        <v>43630</v>
      </c>
      <c r="B435" s="22"/>
      <c r="C435" s="25">
        <f>ROUND(1.52226643247183,4)</f>
        <v>1.5223</v>
      </c>
      <c r="D435" s="25">
        <f>F435</f>
        <v>1.6794</v>
      </c>
      <c r="E435" s="25">
        <f>F435</f>
        <v>1.6794</v>
      </c>
      <c r="F435" s="25">
        <v>1.6794</v>
      </c>
      <c r="G435" s="24"/>
      <c r="H435" s="36"/>
    </row>
    <row r="436" spans="1:8" ht="12.75" customHeight="1">
      <c r="A436" s="22">
        <v>43724</v>
      </c>
      <c r="B436" s="22"/>
      <c r="C436" s="25">
        <f>ROUND(1.52226643247183,4)</f>
        <v>1.5223</v>
      </c>
      <c r="D436" s="25">
        <f>F436</f>
        <v>1.7108</v>
      </c>
      <c r="E436" s="25">
        <f>F436</f>
        <v>1.7108</v>
      </c>
      <c r="F436" s="25">
        <v>1.7108</v>
      </c>
      <c r="G436" s="24"/>
      <c r="H436" s="36"/>
    </row>
    <row r="437" spans="1:8" ht="12.75" customHeight="1">
      <c r="A437" s="22">
        <v>43812</v>
      </c>
      <c r="B437" s="22"/>
      <c r="C437" s="25">
        <f>ROUND(1.52226643247183,4)</f>
        <v>1.5223</v>
      </c>
      <c r="D437" s="25">
        <f>F437</f>
        <v>1.7405</v>
      </c>
      <c r="E437" s="25">
        <f>F437</f>
        <v>1.7405</v>
      </c>
      <c r="F437" s="25">
        <f>ROUND(1.7405,4)</f>
        <v>1.7405</v>
      </c>
      <c r="G437" s="24"/>
      <c r="H437" s="36"/>
    </row>
    <row r="438" spans="1:8" ht="12.75" customHeight="1">
      <c r="A438" s="22" t="s">
        <v>80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43178</v>
      </c>
      <c r="B439" s="22"/>
      <c r="C439" s="25">
        <f>ROUND(8.935836,4)</f>
        <v>8.9358</v>
      </c>
      <c r="D439" s="25">
        <f>F439</f>
        <v>9.0361</v>
      </c>
      <c r="E439" s="25">
        <f>F439</f>
        <v>9.0361</v>
      </c>
      <c r="F439" s="25">
        <f>ROUND(9.0361,4)</f>
        <v>9.0361</v>
      </c>
      <c r="G439" s="24"/>
      <c r="H439" s="36"/>
    </row>
    <row r="440" spans="1:8" ht="12.75" customHeight="1">
      <c r="A440" s="22">
        <v>43269</v>
      </c>
      <c r="B440" s="22"/>
      <c r="C440" s="25">
        <f>ROUND(8.935836,4)</f>
        <v>8.9358</v>
      </c>
      <c r="D440" s="25">
        <f>F440</f>
        <v>9.1508</v>
      </c>
      <c r="E440" s="25">
        <f>F440</f>
        <v>9.1508</v>
      </c>
      <c r="F440" s="25">
        <f>ROUND(9.1508,4)</f>
        <v>9.1508</v>
      </c>
      <c r="G440" s="24"/>
      <c r="H440" s="36"/>
    </row>
    <row r="441" spans="1:8" ht="12.75" customHeight="1">
      <c r="A441" s="22">
        <v>43360</v>
      </c>
      <c r="B441" s="22"/>
      <c r="C441" s="25">
        <f>ROUND(8.935836,4)</f>
        <v>8.9358</v>
      </c>
      <c r="D441" s="25">
        <f>F441</f>
        <v>9.2647</v>
      </c>
      <c r="E441" s="25">
        <f>F441</f>
        <v>9.2647</v>
      </c>
      <c r="F441" s="25">
        <f>ROUND(9.2647,4)</f>
        <v>9.2647</v>
      </c>
      <c r="G441" s="24"/>
      <c r="H441" s="36"/>
    </row>
    <row r="442" spans="1:8" ht="12.75" customHeight="1">
      <c r="A442" s="22">
        <v>43448</v>
      </c>
      <c r="B442" s="22"/>
      <c r="C442" s="25">
        <f>ROUND(8.935836,4)</f>
        <v>8.9358</v>
      </c>
      <c r="D442" s="25">
        <f>F442</f>
        <v>9.3751</v>
      </c>
      <c r="E442" s="25">
        <f>F442</f>
        <v>9.3751</v>
      </c>
      <c r="F442" s="25">
        <f>ROUND(9.3751,4)</f>
        <v>9.3751</v>
      </c>
      <c r="G442" s="24"/>
      <c r="H442" s="36"/>
    </row>
    <row r="443" spans="1:8" ht="12.75" customHeight="1">
      <c r="A443" s="22">
        <v>43542</v>
      </c>
      <c r="B443" s="22"/>
      <c r="C443" s="25">
        <f>ROUND(8.935836,4)</f>
        <v>8.9358</v>
      </c>
      <c r="D443" s="25">
        <f>F443</f>
        <v>9.8625</v>
      </c>
      <c r="E443" s="25">
        <f>F443</f>
        <v>9.8625</v>
      </c>
      <c r="F443" s="25">
        <f>ROUND(9.8625,4)</f>
        <v>9.8625</v>
      </c>
      <c r="G443" s="24"/>
      <c r="H443" s="36"/>
    </row>
    <row r="444" spans="1:8" ht="12.75" customHeight="1">
      <c r="A444" s="22">
        <v>43630</v>
      </c>
      <c r="B444" s="22"/>
      <c r="C444" s="25">
        <f>ROUND(8.935836,4)</f>
        <v>8.9358</v>
      </c>
      <c r="D444" s="25">
        <f>F444</f>
        <v>10.0036</v>
      </c>
      <c r="E444" s="25">
        <f>F444</f>
        <v>10.0036</v>
      </c>
      <c r="F444" s="25">
        <f>ROUND(10.0036,4)</f>
        <v>10.0036</v>
      </c>
      <c r="G444" s="24"/>
      <c r="H444" s="36"/>
    </row>
    <row r="445" spans="1:8" ht="12.75" customHeight="1">
      <c r="A445" s="22">
        <v>43724</v>
      </c>
      <c r="B445" s="22"/>
      <c r="C445" s="25">
        <f>ROUND(8.935836,4)</f>
        <v>8.9358</v>
      </c>
      <c r="D445" s="25">
        <f>F445</f>
        <v>10.1388</v>
      </c>
      <c r="E445" s="25">
        <f>F445</f>
        <v>10.1388</v>
      </c>
      <c r="F445" s="25">
        <f>ROUND(10.1388,4)</f>
        <v>10.1388</v>
      </c>
      <c r="G445" s="24"/>
      <c r="H445" s="36"/>
    </row>
    <row r="446" spans="1:8" ht="12.75" customHeight="1">
      <c r="A446" s="22">
        <v>43812</v>
      </c>
      <c r="B446" s="22"/>
      <c r="C446" s="25">
        <f>ROUND(8.935836,4)</f>
        <v>8.9358</v>
      </c>
      <c r="D446" s="25">
        <f>F446</f>
        <v>10.2836</v>
      </c>
      <c r="E446" s="25">
        <f>F446</f>
        <v>10.2836</v>
      </c>
      <c r="F446" s="25">
        <f>ROUND(10.2836,4)</f>
        <v>10.2836</v>
      </c>
      <c r="G446" s="24"/>
      <c r="H446" s="36"/>
    </row>
    <row r="447" spans="1:8" ht="12.75" customHeight="1">
      <c r="A447" s="22" t="s">
        <v>81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43178</v>
      </c>
      <c r="B448" s="22"/>
      <c r="C448" s="25">
        <f>ROUND(9.47458446435875,4)</f>
        <v>9.4746</v>
      </c>
      <c r="D448" s="25">
        <f>F448</f>
        <v>9.6025</v>
      </c>
      <c r="E448" s="25">
        <f>F448</f>
        <v>9.6025</v>
      </c>
      <c r="F448" s="25">
        <f>ROUND(9.6025,4)</f>
        <v>9.6025</v>
      </c>
      <c r="G448" s="24"/>
      <c r="H448" s="36"/>
    </row>
    <row r="449" spans="1:8" ht="12.75" customHeight="1">
      <c r="A449" s="22">
        <v>43269</v>
      </c>
      <c r="B449" s="22"/>
      <c r="C449" s="25">
        <f>ROUND(9.47458446435875,4)</f>
        <v>9.4746</v>
      </c>
      <c r="D449" s="25">
        <f>F449</f>
        <v>9.7452</v>
      </c>
      <c r="E449" s="25">
        <f>F449</f>
        <v>9.7452</v>
      </c>
      <c r="F449" s="25">
        <f>ROUND(9.7452,4)</f>
        <v>9.7452</v>
      </c>
      <c r="G449" s="24"/>
      <c r="H449" s="36"/>
    </row>
    <row r="450" spans="1:8" ht="12.75" customHeight="1">
      <c r="A450" s="22">
        <v>43360</v>
      </c>
      <c r="B450" s="22"/>
      <c r="C450" s="25">
        <f>ROUND(9.47458446435875,4)</f>
        <v>9.4746</v>
      </c>
      <c r="D450" s="25">
        <f>F450</f>
        <v>9.8863</v>
      </c>
      <c r="E450" s="25">
        <f>F450</f>
        <v>9.8863</v>
      </c>
      <c r="F450" s="25">
        <f>ROUND(9.8863,4)</f>
        <v>9.8863</v>
      </c>
      <c r="G450" s="24"/>
      <c r="H450" s="36"/>
    </row>
    <row r="451" spans="1:8" ht="12.75" customHeight="1">
      <c r="A451" s="22">
        <v>43448</v>
      </c>
      <c r="B451" s="22"/>
      <c r="C451" s="25">
        <f>ROUND(9.47458446435875,4)</f>
        <v>9.4746</v>
      </c>
      <c r="D451" s="25">
        <f>F451</f>
        <v>10.0259</v>
      </c>
      <c r="E451" s="25">
        <f>F451</f>
        <v>10.0259</v>
      </c>
      <c r="F451" s="25">
        <f>ROUND(10.0259,4)</f>
        <v>10.0259</v>
      </c>
      <c r="G451" s="24"/>
      <c r="H451" s="36"/>
    </row>
    <row r="452" spans="1:8" ht="12.75" customHeight="1">
      <c r="A452" s="22">
        <v>43542</v>
      </c>
      <c r="B452" s="22"/>
      <c r="C452" s="25">
        <f>ROUND(9.47458446435875,4)</f>
        <v>9.4746</v>
      </c>
      <c r="D452" s="25">
        <f>F452</f>
        <v>10.5679</v>
      </c>
      <c r="E452" s="25">
        <f>F452</f>
        <v>10.5679</v>
      </c>
      <c r="F452" s="25">
        <f>ROUND(10.5679,4)</f>
        <v>10.5679</v>
      </c>
      <c r="G452" s="24"/>
      <c r="H452" s="36"/>
    </row>
    <row r="453" spans="1:8" ht="12.75" customHeight="1">
      <c r="A453" s="22">
        <v>43630</v>
      </c>
      <c r="B453" s="22"/>
      <c r="C453" s="25">
        <f>ROUND(9.47458446435875,4)</f>
        <v>9.4746</v>
      </c>
      <c r="D453" s="25">
        <f>F453</f>
        <v>10.7369</v>
      </c>
      <c r="E453" s="25">
        <f>F453</f>
        <v>10.7369</v>
      </c>
      <c r="F453" s="25">
        <f>ROUND(10.7369,4)</f>
        <v>10.7369</v>
      </c>
      <c r="G453" s="24"/>
      <c r="H453" s="36"/>
    </row>
    <row r="454" spans="1:8" ht="12.75" customHeight="1">
      <c r="A454" s="22">
        <v>43724</v>
      </c>
      <c r="B454" s="22"/>
      <c r="C454" s="25">
        <f>ROUND(9.47458446435875,4)</f>
        <v>9.4746</v>
      </c>
      <c r="D454" s="25">
        <f>F454</f>
        <v>10.9038</v>
      </c>
      <c r="E454" s="25">
        <f>F454</f>
        <v>10.9038</v>
      </c>
      <c r="F454" s="25">
        <f>ROUND(10.9038,4)</f>
        <v>10.9038</v>
      </c>
      <c r="G454" s="24"/>
      <c r="H454" s="36"/>
    </row>
    <row r="455" spans="1:8" ht="12.75" customHeight="1">
      <c r="A455" s="22">
        <v>43812</v>
      </c>
      <c r="B455" s="22"/>
      <c r="C455" s="25">
        <f>ROUND(9.47458446435875,4)</f>
        <v>9.4746</v>
      </c>
      <c r="D455" s="25">
        <f>F455</f>
        <v>11.0796</v>
      </c>
      <c r="E455" s="25">
        <f>F455</f>
        <v>11.0796</v>
      </c>
      <c r="F455" s="25">
        <f>ROUND(11.0796,4)</f>
        <v>11.0796</v>
      </c>
      <c r="G455" s="24"/>
      <c r="H455" s="36"/>
    </row>
    <row r="456" spans="1:8" ht="12.75" customHeight="1">
      <c r="A456" s="22" t="s">
        <v>82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43178</v>
      </c>
      <c r="B457" s="22"/>
      <c r="C457" s="25">
        <f>ROUND(3.33713148140872,4)</f>
        <v>3.3371</v>
      </c>
      <c r="D457" s="25">
        <f>F457</f>
        <v>3.2981</v>
      </c>
      <c r="E457" s="25">
        <f>F457</f>
        <v>3.2981</v>
      </c>
      <c r="F457" s="25">
        <f>ROUND(3.2981,4)</f>
        <v>3.2981</v>
      </c>
      <c r="G457" s="24"/>
      <c r="H457" s="36"/>
    </row>
    <row r="458" spans="1:8" ht="12.75" customHeight="1">
      <c r="A458" s="22">
        <v>43269</v>
      </c>
      <c r="B458" s="22"/>
      <c r="C458" s="25">
        <f>ROUND(3.33713148140872,4)</f>
        <v>3.3371</v>
      </c>
      <c r="D458" s="25">
        <f>F458</f>
        <v>3.2516</v>
      </c>
      <c r="E458" s="25">
        <f>F458</f>
        <v>3.2516</v>
      </c>
      <c r="F458" s="25">
        <f>ROUND(3.2516,4)</f>
        <v>3.2516</v>
      </c>
      <c r="G458" s="24"/>
      <c r="H458" s="36"/>
    </row>
    <row r="459" spans="1:8" ht="12.75" customHeight="1">
      <c r="A459" s="22">
        <v>43360</v>
      </c>
      <c r="B459" s="22"/>
      <c r="C459" s="25">
        <f>ROUND(3.33713148140872,4)</f>
        <v>3.3371</v>
      </c>
      <c r="D459" s="25">
        <f>F459</f>
        <v>3.2029</v>
      </c>
      <c r="E459" s="25">
        <f>F459</f>
        <v>3.2029</v>
      </c>
      <c r="F459" s="25">
        <f>ROUND(3.2029,4)</f>
        <v>3.2029</v>
      </c>
      <c r="G459" s="24"/>
      <c r="H459" s="36"/>
    </row>
    <row r="460" spans="1:8" ht="12.75" customHeight="1">
      <c r="A460" s="22">
        <v>43448</v>
      </c>
      <c r="B460" s="22"/>
      <c r="C460" s="25">
        <f>ROUND(3.33713148140872,4)</f>
        <v>3.3371</v>
      </c>
      <c r="D460" s="25">
        <f>F460</f>
        <v>3.1582</v>
      </c>
      <c r="E460" s="25">
        <f>F460</f>
        <v>3.1582</v>
      </c>
      <c r="F460" s="25">
        <f>ROUND(3.1582,4)</f>
        <v>3.1582</v>
      </c>
      <c r="G460" s="24"/>
      <c r="H460" s="36"/>
    </row>
    <row r="461" spans="1:8" ht="12.75" customHeight="1">
      <c r="A461" s="22">
        <v>43542</v>
      </c>
      <c r="B461" s="22"/>
      <c r="C461" s="25">
        <f>ROUND(3.33713148140872,4)</f>
        <v>3.3371</v>
      </c>
      <c r="D461" s="25">
        <f>F461</f>
        <v>3.2328</v>
      </c>
      <c r="E461" s="25">
        <f>F461</f>
        <v>3.2328</v>
      </c>
      <c r="F461" s="25">
        <f>ROUND(3.2328,4)</f>
        <v>3.2328</v>
      </c>
      <c r="G461" s="24"/>
      <c r="H461" s="36"/>
    </row>
    <row r="462" spans="1:8" ht="12.75" customHeight="1">
      <c r="A462" s="22">
        <v>43630</v>
      </c>
      <c r="B462" s="22"/>
      <c r="C462" s="25">
        <f>ROUND(3.33713148140872,4)</f>
        <v>3.3371</v>
      </c>
      <c r="D462" s="25">
        <f>F462</f>
        <v>3.1984</v>
      </c>
      <c r="E462" s="25">
        <f>F462</f>
        <v>3.1984</v>
      </c>
      <c r="F462" s="25">
        <f>ROUND(3.1984,4)</f>
        <v>3.1984</v>
      </c>
      <c r="G462" s="24"/>
      <c r="H462" s="36"/>
    </row>
    <row r="463" spans="1:8" ht="12.75" customHeight="1">
      <c r="A463" s="22">
        <v>43724</v>
      </c>
      <c r="B463" s="22"/>
      <c r="C463" s="25">
        <f>ROUND(3.33713148140872,4)</f>
        <v>3.3371</v>
      </c>
      <c r="D463" s="25">
        <f>F463</f>
        <v>3.1587</v>
      </c>
      <c r="E463" s="25">
        <f>F463</f>
        <v>3.1587</v>
      </c>
      <c r="F463" s="25">
        <f>ROUND(3.1587,4)</f>
        <v>3.1587</v>
      </c>
      <c r="G463" s="24"/>
      <c r="H463" s="36"/>
    </row>
    <row r="464" spans="1:8" ht="12.75" customHeight="1">
      <c r="A464" s="22">
        <v>43812</v>
      </c>
      <c r="B464" s="22"/>
      <c r="C464" s="25">
        <f>ROUND(3.33713148140872,4)</f>
        <v>3.3371</v>
      </c>
      <c r="D464" s="25">
        <f>F464</f>
        <v>3.1289</v>
      </c>
      <c r="E464" s="25">
        <f>F464</f>
        <v>3.1289</v>
      </c>
      <c r="F464" s="25">
        <f>ROUND(3.1289,4)</f>
        <v>3.1289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43178</v>
      </c>
      <c r="B466" s="22"/>
      <c r="C466" s="25">
        <f>ROUND(12.74,4)</f>
        <v>12.74</v>
      </c>
      <c r="D466" s="25">
        <f>F466</f>
        <v>12.8969</v>
      </c>
      <c r="E466" s="25">
        <f>F466</f>
        <v>12.8969</v>
      </c>
      <c r="F466" s="25">
        <f>ROUND(12.8969,4)</f>
        <v>12.8969</v>
      </c>
      <c r="G466" s="24"/>
      <c r="H466" s="36"/>
    </row>
    <row r="467" spans="1:8" ht="12.75" customHeight="1">
      <c r="A467" s="22">
        <v>43269</v>
      </c>
      <c r="B467" s="22"/>
      <c r="C467" s="25">
        <f>ROUND(12.74,4)</f>
        <v>12.74</v>
      </c>
      <c r="D467" s="25">
        <f>F467</f>
        <v>13.0705</v>
      </c>
      <c r="E467" s="25">
        <f>F467</f>
        <v>13.0705</v>
      </c>
      <c r="F467" s="25">
        <f>ROUND(13.0705,4)</f>
        <v>13.0705</v>
      </c>
      <c r="G467" s="24"/>
      <c r="H467" s="36"/>
    </row>
    <row r="468" spans="1:8" ht="12.75" customHeight="1">
      <c r="A468" s="22">
        <v>43360</v>
      </c>
      <c r="B468" s="22"/>
      <c r="C468" s="25">
        <f>ROUND(12.74,4)</f>
        <v>12.74</v>
      </c>
      <c r="D468" s="25">
        <f>F468</f>
        <v>13.2396</v>
      </c>
      <c r="E468" s="25">
        <f>F468</f>
        <v>13.2396</v>
      </c>
      <c r="F468" s="25">
        <f>ROUND(13.2396,4)</f>
        <v>13.2396</v>
      </c>
      <c r="G468" s="24"/>
      <c r="H468" s="36"/>
    </row>
    <row r="469" spans="1:8" ht="12.75" customHeight="1">
      <c r="A469" s="22">
        <v>43448</v>
      </c>
      <c r="B469" s="22"/>
      <c r="C469" s="25">
        <f>ROUND(12.74,4)</f>
        <v>12.74</v>
      </c>
      <c r="D469" s="25">
        <f>F469</f>
        <v>13.4033</v>
      </c>
      <c r="E469" s="25">
        <f>F469</f>
        <v>13.4033</v>
      </c>
      <c r="F469" s="25">
        <f>ROUND(13.4033,4)</f>
        <v>13.4033</v>
      </c>
      <c r="G469" s="24"/>
      <c r="H469" s="36"/>
    </row>
    <row r="470" spans="1:8" ht="12.75" customHeight="1">
      <c r="A470" s="22">
        <v>43630</v>
      </c>
      <c r="B470" s="22"/>
      <c r="C470" s="25">
        <f>ROUND(12.74,4)</f>
        <v>12.74</v>
      </c>
      <c r="D470" s="25">
        <f>F470</f>
        <v>13.754</v>
      </c>
      <c r="E470" s="25">
        <f>F470</f>
        <v>13.754</v>
      </c>
      <c r="F470" s="25">
        <v>13.754</v>
      </c>
      <c r="G470" s="24"/>
      <c r="H470" s="36"/>
    </row>
    <row r="471" spans="1:8" ht="12.75" customHeight="1">
      <c r="A471" s="22">
        <v>43724</v>
      </c>
      <c r="B471" s="22"/>
      <c r="C471" s="25">
        <f>ROUND(12.74,4)</f>
        <v>12.74</v>
      </c>
      <c r="D471" s="25">
        <f>F471</f>
        <v>13.9356</v>
      </c>
      <c r="E471" s="25">
        <f>F471</f>
        <v>13.9356</v>
      </c>
      <c r="F471" s="25">
        <v>13.9356</v>
      </c>
      <c r="G471" s="24"/>
      <c r="H471" s="36"/>
    </row>
    <row r="472" spans="1:8" ht="12.75" customHeight="1">
      <c r="A472" s="22">
        <v>43812</v>
      </c>
      <c r="B472" s="22"/>
      <c r="C472" s="25">
        <f>ROUND(12.74,4)</f>
        <v>12.74</v>
      </c>
      <c r="D472" s="25">
        <f>F472</f>
        <v>14.1057</v>
      </c>
      <c r="E472" s="25">
        <f>F472</f>
        <v>14.1057</v>
      </c>
      <c r="F472" s="25">
        <v>14.1057</v>
      </c>
      <c r="G472" s="24"/>
      <c r="H472" s="36"/>
    </row>
    <row r="473" spans="1:8" ht="12.75" customHeight="1">
      <c r="A473" s="22" t="s">
        <v>84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43178</v>
      </c>
      <c r="B474" s="22"/>
      <c r="C474" s="25">
        <f>ROUND(12.74,4)</f>
        <v>12.74</v>
      </c>
      <c r="D474" s="25">
        <f>F474</f>
        <v>12.8969</v>
      </c>
      <c r="E474" s="25">
        <f>F474</f>
        <v>12.8969</v>
      </c>
      <c r="F474" s="25">
        <f>ROUND(12.8969,4)</f>
        <v>12.8969</v>
      </c>
      <c r="G474" s="24"/>
      <c r="H474" s="36"/>
    </row>
    <row r="475" spans="1:8" ht="12.75" customHeight="1">
      <c r="A475" s="22">
        <v>43269</v>
      </c>
      <c r="B475" s="22"/>
      <c r="C475" s="25">
        <f>ROUND(12.74,4)</f>
        <v>12.74</v>
      </c>
      <c r="D475" s="25">
        <f>F475</f>
        <v>13.0705</v>
      </c>
      <c r="E475" s="25">
        <f>F475</f>
        <v>13.0705</v>
      </c>
      <c r="F475" s="25">
        <f>ROUND(13.0705,4)</f>
        <v>13.0705</v>
      </c>
      <c r="G475" s="24"/>
      <c r="H475" s="36"/>
    </row>
    <row r="476" spans="1:8" ht="12.75" customHeight="1">
      <c r="A476" s="22">
        <v>43360</v>
      </c>
      <c r="B476" s="22"/>
      <c r="C476" s="25">
        <f>ROUND(12.74,4)</f>
        <v>12.74</v>
      </c>
      <c r="D476" s="25">
        <f>F476</f>
        <v>13.2396</v>
      </c>
      <c r="E476" s="25">
        <f>F476</f>
        <v>13.2396</v>
      </c>
      <c r="F476" s="25">
        <f>ROUND(13.2396,4)</f>
        <v>13.2396</v>
      </c>
      <c r="G476" s="24"/>
      <c r="H476" s="36"/>
    </row>
    <row r="477" spans="1:8" ht="12.75" customHeight="1">
      <c r="A477" s="22">
        <v>43448</v>
      </c>
      <c r="B477" s="22"/>
      <c r="C477" s="25">
        <f>ROUND(12.74,4)</f>
        <v>12.74</v>
      </c>
      <c r="D477" s="25">
        <f>F477</f>
        <v>13.4033</v>
      </c>
      <c r="E477" s="25">
        <f>F477</f>
        <v>13.4033</v>
      </c>
      <c r="F477" s="25">
        <f>ROUND(13.4033,4)</f>
        <v>13.4033</v>
      </c>
      <c r="G477" s="24"/>
      <c r="H477" s="36"/>
    </row>
    <row r="478" spans="1:8" ht="12.75" customHeight="1">
      <c r="A478" s="22">
        <v>43542</v>
      </c>
      <c r="B478" s="22"/>
      <c r="C478" s="25">
        <f>ROUND(12.74,4)</f>
        <v>12.74</v>
      </c>
      <c r="D478" s="25">
        <f>F478</f>
        <v>13.584</v>
      </c>
      <c r="E478" s="25">
        <f>F478</f>
        <v>13.584</v>
      </c>
      <c r="F478" s="25">
        <f>ROUND(13.584,4)</f>
        <v>13.584</v>
      </c>
      <c r="G478" s="24"/>
      <c r="H478" s="36"/>
    </row>
    <row r="479" spans="1:8" ht="12.75" customHeight="1">
      <c r="A479" s="22">
        <v>43630</v>
      </c>
      <c r="B479" s="22"/>
      <c r="C479" s="25">
        <f>ROUND(12.74,4)</f>
        <v>12.74</v>
      </c>
      <c r="D479" s="25">
        <f>F479</f>
        <v>13.754</v>
      </c>
      <c r="E479" s="25">
        <f>F479</f>
        <v>13.754</v>
      </c>
      <c r="F479" s="25">
        <f>ROUND(13.754,4)</f>
        <v>13.754</v>
      </c>
      <c r="G479" s="24"/>
      <c r="H479" s="36"/>
    </row>
    <row r="480" spans="1:8" ht="12.75" customHeight="1">
      <c r="A480" s="22">
        <v>43724</v>
      </c>
      <c r="B480" s="22"/>
      <c r="C480" s="25">
        <f>ROUND(12.74,4)</f>
        <v>12.74</v>
      </c>
      <c r="D480" s="25">
        <f>F480</f>
        <v>13.9356</v>
      </c>
      <c r="E480" s="25">
        <f>F480</f>
        <v>13.9356</v>
      </c>
      <c r="F480" s="25">
        <f>ROUND(13.9356,4)</f>
        <v>13.9356</v>
      </c>
      <c r="G480" s="24"/>
      <c r="H480" s="36"/>
    </row>
    <row r="481" spans="1:8" ht="12.75" customHeight="1">
      <c r="A481" s="22">
        <v>43812</v>
      </c>
      <c r="B481" s="22"/>
      <c r="C481" s="25">
        <f>ROUND(12.74,4)</f>
        <v>12.74</v>
      </c>
      <c r="D481" s="25">
        <f>F481</f>
        <v>14.1057</v>
      </c>
      <c r="E481" s="25">
        <f>F481</f>
        <v>14.1057</v>
      </c>
      <c r="F481" s="25">
        <f>ROUND(14.1057,4)</f>
        <v>14.1057</v>
      </c>
      <c r="G481" s="24"/>
      <c r="H481" s="36"/>
    </row>
    <row r="482" spans="1:8" ht="12.75" customHeight="1">
      <c r="A482" s="22">
        <v>43906</v>
      </c>
      <c r="B482" s="22"/>
      <c r="C482" s="25">
        <f>ROUND(12.74,4)</f>
        <v>12.74</v>
      </c>
      <c r="D482" s="25">
        <f>F482</f>
        <v>14.3129</v>
      </c>
      <c r="E482" s="25">
        <f>F482</f>
        <v>14.3129</v>
      </c>
      <c r="F482" s="25">
        <f>ROUND(14.3129,4)</f>
        <v>14.3129</v>
      </c>
      <c r="G482" s="24"/>
      <c r="H482" s="36"/>
    </row>
    <row r="483" spans="1:8" ht="12.75" customHeight="1">
      <c r="A483" s="22">
        <v>43994</v>
      </c>
      <c r="B483" s="22"/>
      <c r="C483" s="25">
        <f>ROUND(12.74,4)</f>
        <v>12.74</v>
      </c>
      <c r="D483" s="25">
        <f>F483</f>
        <v>14.5122</v>
      </c>
      <c r="E483" s="25">
        <f>F483</f>
        <v>14.5122</v>
      </c>
      <c r="F483" s="25">
        <f>ROUND(14.5122,4)</f>
        <v>14.5122</v>
      </c>
      <c r="G483" s="24"/>
      <c r="H483" s="36"/>
    </row>
    <row r="484" spans="1:8" ht="12.75" customHeight="1">
      <c r="A484" s="22">
        <v>44088</v>
      </c>
      <c r="B484" s="22"/>
      <c r="C484" s="25">
        <f>ROUND(12.74,4)</f>
        <v>12.74</v>
      </c>
      <c r="D484" s="25">
        <f>F484</f>
        <v>14.725</v>
      </c>
      <c r="E484" s="25">
        <f>F484</f>
        <v>14.725</v>
      </c>
      <c r="F484" s="25">
        <f>ROUND(14.725,4)</f>
        <v>14.725</v>
      </c>
      <c r="G484" s="24"/>
      <c r="H484" s="36"/>
    </row>
    <row r="485" spans="1:8" ht="12.75" customHeight="1">
      <c r="A485" s="22">
        <v>44179</v>
      </c>
      <c r="B485" s="22"/>
      <c r="C485" s="25">
        <f>ROUND(12.74,4)</f>
        <v>12.74</v>
      </c>
      <c r="D485" s="25">
        <f>F485</f>
        <v>14.9311</v>
      </c>
      <c r="E485" s="25">
        <f>F485</f>
        <v>14.9311</v>
      </c>
      <c r="F485" s="25">
        <f>ROUND(14.9311,4)</f>
        <v>14.9311</v>
      </c>
      <c r="G485" s="24"/>
      <c r="H485" s="36"/>
    </row>
    <row r="486" spans="1:8" ht="12.75" customHeight="1">
      <c r="A486" s="22">
        <v>44270</v>
      </c>
      <c r="B486" s="22"/>
      <c r="C486" s="25">
        <f>ROUND(12.74,4)</f>
        <v>12.74</v>
      </c>
      <c r="D486" s="25">
        <f>F486</f>
        <v>15.1372</v>
      </c>
      <c r="E486" s="25">
        <f>F486</f>
        <v>15.1372</v>
      </c>
      <c r="F486" s="25">
        <f>ROUND(15.1372,4)</f>
        <v>15.1372</v>
      </c>
      <c r="G486" s="24"/>
      <c r="H486" s="36"/>
    </row>
    <row r="487" spans="1:8" ht="12.75" customHeight="1">
      <c r="A487" s="22" t="s">
        <v>85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43178</v>
      </c>
      <c r="B488" s="22"/>
      <c r="C488" s="25">
        <f>ROUND(1.30265848670757,4)</f>
        <v>1.3027</v>
      </c>
      <c r="D488" s="25">
        <f>F488</f>
        <v>1.2826</v>
      </c>
      <c r="E488" s="25">
        <f>F488</f>
        <v>1.2826</v>
      </c>
      <c r="F488" s="25">
        <f>ROUND(1.2826,4)</f>
        <v>1.2826</v>
      </c>
      <c r="G488" s="24"/>
      <c r="H488" s="36"/>
    </row>
    <row r="489" spans="1:8" ht="12.75" customHeight="1">
      <c r="A489" s="22">
        <v>43269</v>
      </c>
      <c r="B489" s="22"/>
      <c r="C489" s="25">
        <f>ROUND(1.30265848670757,4)</f>
        <v>1.3027</v>
      </c>
      <c r="D489" s="25">
        <f>F489</f>
        <v>1.2625</v>
      </c>
      <c r="E489" s="25">
        <f>F489</f>
        <v>1.2625</v>
      </c>
      <c r="F489" s="25">
        <f>ROUND(1.2625,4)</f>
        <v>1.2625</v>
      </c>
      <c r="G489" s="24"/>
      <c r="H489" s="36"/>
    </row>
    <row r="490" spans="1:8" ht="12.75" customHeight="1">
      <c r="A490" s="22">
        <v>43360</v>
      </c>
      <c r="B490" s="22"/>
      <c r="C490" s="25">
        <f>ROUND(1.30265848670757,4)</f>
        <v>1.3027</v>
      </c>
      <c r="D490" s="25">
        <f>F490</f>
        <v>1.2435</v>
      </c>
      <c r="E490" s="25">
        <f>F490</f>
        <v>1.2435</v>
      </c>
      <c r="F490" s="25">
        <f>ROUND(1.2435,4)</f>
        <v>1.2435</v>
      </c>
      <c r="G490" s="24"/>
      <c r="H490" s="36"/>
    </row>
    <row r="491" spans="1:8" ht="12.75" customHeight="1">
      <c r="A491" s="22">
        <v>43448</v>
      </c>
      <c r="B491" s="22"/>
      <c r="C491" s="25">
        <f>ROUND(1.30265848670757,4)</f>
        <v>1.3027</v>
      </c>
      <c r="D491" s="25">
        <f>F491</f>
        <v>1.2271</v>
      </c>
      <c r="E491" s="25">
        <f>F491</f>
        <v>1.2271</v>
      </c>
      <c r="F491" s="25">
        <f>ROUND(1.2271,4)</f>
        <v>1.2271</v>
      </c>
      <c r="G491" s="24"/>
      <c r="H491" s="36"/>
    </row>
    <row r="492" spans="1:8" ht="12.75" customHeight="1">
      <c r="A492" s="22">
        <v>43542</v>
      </c>
      <c r="B492" s="22"/>
      <c r="C492" s="25">
        <f>ROUND(1.30265848670757,4)</f>
        <v>1.3027</v>
      </c>
      <c r="D492" s="25">
        <f>F492</f>
        <v>1.211</v>
      </c>
      <c r="E492" s="25">
        <f>F492</f>
        <v>1.211</v>
      </c>
      <c r="F492" s="25">
        <f>ROUND(1.211,4)</f>
        <v>1.211</v>
      </c>
      <c r="G492" s="24"/>
      <c r="H492" s="36"/>
    </row>
    <row r="493" spans="1:8" ht="12.75" customHeight="1">
      <c r="A493" s="22">
        <v>43630</v>
      </c>
      <c r="B493" s="22"/>
      <c r="C493" s="25">
        <f>ROUND(1.30265848670757,4)</f>
        <v>1.3027</v>
      </c>
      <c r="D493" s="25">
        <f>F493</f>
        <v>1.2164</v>
      </c>
      <c r="E493" s="25">
        <f>F493</f>
        <v>1.2164</v>
      </c>
      <c r="F493" s="25">
        <f>ROUND(1.2164,4)</f>
        <v>1.2164</v>
      </c>
      <c r="G493" s="24"/>
      <c r="H493" s="36"/>
    </row>
    <row r="494" spans="1:8" ht="12.75" customHeight="1">
      <c r="A494" s="22">
        <v>43724</v>
      </c>
      <c r="B494" s="22"/>
      <c r="C494" s="25">
        <f>ROUND(1.30265848670757,4)</f>
        <v>1.3027</v>
      </c>
      <c r="D494" s="25">
        <f>F494</f>
        <v>1.2269</v>
      </c>
      <c r="E494" s="25">
        <f>F494</f>
        <v>1.2269</v>
      </c>
      <c r="F494" s="25">
        <f>ROUND(1.2269,4)</f>
        <v>1.2269</v>
      </c>
      <c r="G494" s="24"/>
      <c r="H494" s="36"/>
    </row>
    <row r="495" spans="1:8" ht="12.75" customHeight="1">
      <c r="A495" s="22" t="s">
        <v>86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43132</v>
      </c>
      <c r="B496" s="22"/>
      <c r="C496" s="27">
        <f>ROUND(631.947,3)</f>
        <v>631.947</v>
      </c>
      <c r="D496" s="27">
        <f>F496</f>
        <v>637.155</v>
      </c>
      <c r="E496" s="27">
        <f>F496</f>
        <v>637.155</v>
      </c>
      <c r="F496" s="27">
        <f>ROUND(637.155,3)</f>
        <v>637.155</v>
      </c>
      <c r="G496" s="24"/>
      <c r="H496" s="36"/>
    </row>
    <row r="497" spans="1:8" ht="12.75" customHeight="1">
      <c r="A497" s="22">
        <v>43223</v>
      </c>
      <c r="B497" s="22"/>
      <c r="C497" s="27">
        <f>ROUND(631.947,3)</f>
        <v>631.947</v>
      </c>
      <c r="D497" s="27">
        <f>F497</f>
        <v>649.059</v>
      </c>
      <c r="E497" s="27">
        <f>F497</f>
        <v>649.059</v>
      </c>
      <c r="F497" s="27">
        <f>ROUND(649.059,3)</f>
        <v>649.059</v>
      </c>
      <c r="G497" s="24"/>
      <c r="H497" s="36"/>
    </row>
    <row r="498" spans="1:8" ht="12.75" customHeight="1">
      <c r="A498" s="22">
        <v>43314</v>
      </c>
      <c r="B498" s="22"/>
      <c r="C498" s="27">
        <f>ROUND(631.947,3)</f>
        <v>631.947</v>
      </c>
      <c r="D498" s="27">
        <f>F498</f>
        <v>661.286</v>
      </c>
      <c r="E498" s="27">
        <f>F498</f>
        <v>661.286</v>
      </c>
      <c r="F498" s="27">
        <f>ROUND(661.286,3)</f>
        <v>661.286</v>
      </c>
      <c r="G498" s="24"/>
      <c r="H498" s="36"/>
    </row>
    <row r="499" spans="1:8" ht="12.75" customHeight="1">
      <c r="A499" s="22">
        <v>43405</v>
      </c>
      <c r="B499" s="22"/>
      <c r="C499" s="27">
        <f>ROUND(631.947,3)</f>
        <v>631.947</v>
      </c>
      <c r="D499" s="27">
        <f>F499</f>
        <v>674.066</v>
      </c>
      <c r="E499" s="27">
        <f>F499</f>
        <v>674.066</v>
      </c>
      <c r="F499" s="27">
        <f>ROUND(674.066,3)</f>
        <v>674.066</v>
      </c>
      <c r="G499" s="24"/>
      <c r="H499" s="36"/>
    </row>
    <row r="500" spans="1:8" ht="12.75" customHeight="1">
      <c r="A500" s="22" t="s">
        <v>87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43132</v>
      </c>
      <c r="B501" s="22"/>
      <c r="C501" s="27">
        <f>ROUND(562.565,3)</f>
        <v>562.565</v>
      </c>
      <c r="D501" s="27">
        <f>F501</f>
        <v>567.201</v>
      </c>
      <c r="E501" s="27">
        <f>F501</f>
        <v>567.201</v>
      </c>
      <c r="F501" s="27">
        <f>ROUND(567.201,3)</f>
        <v>567.201</v>
      </c>
      <c r="G501" s="24"/>
      <c r="H501" s="36"/>
    </row>
    <row r="502" spans="1:8" ht="12.75" customHeight="1">
      <c r="A502" s="22">
        <v>43223</v>
      </c>
      <c r="B502" s="22"/>
      <c r="C502" s="27">
        <f>ROUND(562.565,3)</f>
        <v>562.565</v>
      </c>
      <c r="D502" s="27">
        <f>F502</f>
        <v>577.798</v>
      </c>
      <c r="E502" s="27">
        <f>F502</f>
        <v>577.798</v>
      </c>
      <c r="F502" s="27">
        <f>ROUND(577.798,3)</f>
        <v>577.798</v>
      </c>
      <c r="G502" s="24"/>
      <c r="H502" s="36"/>
    </row>
    <row r="503" spans="1:8" ht="12.75" customHeight="1">
      <c r="A503" s="22">
        <v>43314</v>
      </c>
      <c r="B503" s="22"/>
      <c r="C503" s="27">
        <f>ROUND(562.565,3)</f>
        <v>562.565</v>
      </c>
      <c r="D503" s="27">
        <f>F503</f>
        <v>588.683</v>
      </c>
      <c r="E503" s="27">
        <f>F503</f>
        <v>588.683</v>
      </c>
      <c r="F503" s="27">
        <f>ROUND(588.683,3)</f>
        <v>588.683</v>
      </c>
      <c r="G503" s="24"/>
      <c r="H503" s="36"/>
    </row>
    <row r="504" spans="1:8" ht="12.75" customHeight="1">
      <c r="A504" s="22">
        <v>43405</v>
      </c>
      <c r="B504" s="22"/>
      <c r="C504" s="27">
        <f>ROUND(562.565,3)</f>
        <v>562.565</v>
      </c>
      <c r="D504" s="27">
        <f>F504</f>
        <v>600.06</v>
      </c>
      <c r="E504" s="27">
        <f>F504</f>
        <v>600.06</v>
      </c>
      <c r="F504" s="27">
        <f>ROUND(600.06,3)</f>
        <v>600.06</v>
      </c>
      <c r="G504" s="24"/>
      <c r="H504" s="36"/>
    </row>
    <row r="505" spans="1:8" ht="12.75" customHeight="1">
      <c r="A505" s="22" t="s">
        <v>88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43132</v>
      </c>
      <c r="B506" s="22"/>
      <c r="C506" s="27">
        <f>ROUND(646.815,3)</f>
        <v>646.815</v>
      </c>
      <c r="D506" s="27">
        <f>F506</f>
        <v>652.145</v>
      </c>
      <c r="E506" s="27">
        <f>F506</f>
        <v>652.145</v>
      </c>
      <c r="F506" s="27">
        <f>ROUND(652.145,3)</f>
        <v>652.145</v>
      </c>
      <c r="G506" s="24"/>
      <c r="H506" s="36"/>
    </row>
    <row r="507" spans="1:8" ht="12.75" customHeight="1">
      <c r="A507" s="22">
        <v>43223</v>
      </c>
      <c r="B507" s="22"/>
      <c r="C507" s="27">
        <f>ROUND(646.815,3)</f>
        <v>646.815</v>
      </c>
      <c r="D507" s="27">
        <f>F507</f>
        <v>664.33</v>
      </c>
      <c r="E507" s="27">
        <f>F507</f>
        <v>664.33</v>
      </c>
      <c r="F507" s="27">
        <f>ROUND(664.33,3)</f>
        <v>664.33</v>
      </c>
      <c r="G507" s="24"/>
      <c r="H507" s="36"/>
    </row>
    <row r="508" spans="1:8" ht="12.75" customHeight="1">
      <c r="A508" s="22">
        <v>43314</v>
      </c>
      <c r="B508" s="22"/>
      <c r="C508" s="27">
        <f>ROUND(646.815,3)</f>
        <v>646.815</v>
      </c>
      <c r="D508" s="27">
        <f>F508</f>
        <v>676.845</v>
      </c>
      <c r="E508" s="27">
        <f>F508</f>
        <v>676.845</v>
      </c>
      <c r="F508" s="27">
        <f>ROUND(676.845,3)</f>
        <v>676.845</v>
      </c>
      <c r="G508" s="24"/>
      <c r="H508" s="36"/>
    </row>
    <row r="509" spans="1:8" ht="12.75" customHeight="1">
      <c r="A509" s="22">
        <v>43405</v>
      </c>
      <c r="B509" s="22"/>
      <c r="C509" s="27">
        <f>ROUND(646.815,3)</f>
        <v>646.815</v>
      </c>
      <c r="D509" s="27">
        <f>F509</f>
        <v>689.925</v>
      </c>
      <c r="E509" s="27">
        <f>F509</f>
        <v>689.925</v>
      </c>
      <c r="F509" s="27">
        <f>ROUND(689.925,3)</f>
        <v>689.925</v>
      </c>
      <c r="G509" s="24"/>
      <c r="H509" s="36"/>
    </row>
    <row r="510" spans="1:8" ht="12.75" customHeight="1">
      <c r="A510" s="22" t="s">
        <v>89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43132</v>
      </c>
      <c r="B511" s="22"/>
      <c r="C511" s="27">
        <f>ROUND(582.265,3)</f>
        <v>582.265</v>
      </c>
      <c r="D511" s="27">
        <f>F511</f>
        <v>587.063</v>
      </c>
      <c r="E511" s="27">
        <f>F511</f>
        <v>587.063</v>
      </c>
      <c r="F511" s="27">
        <f>ROUND(587.063,3)</f>
        <v>587.063</v>
      </c>
      <c r="G511" s="24"/>
      <c r="H511" s="36"/>
    </row>
    <row r="512" spans="1:8" ht="12.75" customHeight="1">
      <c r="A512" s="22">
        <v>43223</v>
      </c>
      <c r="B512" s="22"/>
      <c r="C512" s="27">
        <f>ROUND(582.265,3)</f>
        <v>582.265</v>
      </c>
      <c r="D512" s="27">
        <f>F512</f>
        <v>598.032</v>
      </c>
      <c r="E512" s="27">
        <f>F512</f>
        <v>598.032</v>
      </c>
      <c r="F512" s="27">
        <f>ROUND(598.032,3)</f>
        <v>598.032</v>
      </c>
      <c r="G512" s="24"/>
      <c r="H512" s="36"/>
    </row>
    <row r="513" spans="1:8" ht="12.75" customHeight="1">
      <c r="A513" s="22">
        <v>43314</v>
      </c>
      <c r="B513" s="22"/>
      <c r="C513" s="27">
        <f>ROUND(582.265,3)</f>
        <v>582.265</v>
      </c>
      <c r="D513" s="27">
        <f>F513</f>
        <v>609.298</v>
      </c>
      <c r="E513" s="27">
        <f>F513</f>
        <v>609.298</v>
      </c>
      <c r="F513" s="27">
        <f>ROUND(609.298,3)</f>
        <v>609.298</v>
      </c>
      <c r="G513" s="24"/>
      <c r="H513" s="36"/>
    </row>
    <row r="514" spans="1:8" ht="12.75" customHeight="1">
      <c r="A514" s="22">
        <v>43405</v>
      </c>
      <c r="B514" s="22"/>
      <c r="C514" s="27">
        <f>ROUND(582.265,3)</f>
        <v>582.265</v>
      </c>
      <c r="D514" s="27">
        <f>F514</f>
        <v>621.073</v>
      </c>
      <c r="E514" s="27">
        <f>F514</f>
        <v>621.073</v>
      </c>
      <c r="F514" s="27">
        <f>ROUND(621.073,3)</f>
        <v>621.073</v>
      </c>
      <c r="G514" s="24"/>
      <c r="H514" s="36"/>
    </row>
    <row r="515" spans="1:8" ht="12.75" customHeight="1">
      <c r="A515" s="22" t="s">
        <v>90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43132</v>
      </c>
      <c r="B516" s="22"/>
      <c r="C516" s="27">
        <f>ROUND(247.749067740299,3)</f>
        <v>247.749</v>
      </c>
      <c r="D516" s="27">
        <f>F516</f>
        <v>249.797</v>
      </c>
      <c r="E516" s="27">
        <f>F516</f>
        <v>249.797</v>
      </c>
      <c r="F516" s="27">
        <f>ROUND(249.797,3)</f>
        <v>249.797</v>
      </c>
      <c r="G516" s="24"/>
      <c r="H516" s="36"/>
    </row>
    <row r="517" spans="1:8" ht="12.75" customHeight="1">
      <c r="A517" s="22">
        <v>43223</v>
      </c>
      <c r="B517" s="22"/>
      <c r="C517" s="27">
        <f>ROUND(247.749067740299,3)</f>
        <v>247.749</v>
      </c>
      <c r="D517" s="27">
        <f>F517</f>
        <v>254.48</v>
      </c>
      <c r="E517" s="27">
        <f>F517</f>
        <v>254.48</v>
      </c>
      <c r="F517" s="27">
        <f>ROUND(254.48,3)</f>
        <v>254.48</v>
      </c>
      <c r="G517" s="24"/>
      <c r="H517" s="36"/>
    </row>
    <row r="518" spans="1:8" ht="12.75" customHeight="1">
      <c r="A518" s="22">
        <v>43314</v>
      </c>
      <c r="B518" s="22"/>
      <c r="C518" s="27">
        <f>ROUND(247.749067740299,3)</f>
        <v>247.749</v>
      </c>
      <c r="D518" s="27">
        <f>F518</f>
        <v>259.317</v>
      </c>
      <c r="E518" s="27">
        <f>F518</f>
        <v>259.317</v>
      </c>
      <c r="F518" s="27">
        <f>ROUND(259.317,3)</f>
        <v>259.317</v>
      </c>
      <c r="G518" s="24"/>
      <c r="H518" s="36"/>
    </row>
    <row r="519" spans="1:8" ht="12.75" customHeight="1">
      <c r="A519" s="22">
        <v>43405</v>
      </c>
      <c r="B519" s="22"/>
      <c r="C519" s="27">
        <f>ROUND(247.749067740299,3)</f>
        <v>247.749</v>
      </c>
      <c r="D519" s="27">
        <f>F519</f>
        <v>264.419</v>
      </c>
      <c r="E519" s="27">
        <f>F519</f>
        <v>264.419</v>
      </c>
      <c r="F519" s="27">
        <f>ROUND(264.419,3)</f>
        <v>264.419</v>
      </c>
      <c r="G519" s="24"/>
      <c r="H519" s="36"/>
    </row>
    <row r="520" spans="1:8" ht="12.75" customHeight="1">
      <c r="A520" s="22" t="s">
        <v>91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43132</v>
      </c>
      <c r="B521" s="22"/>
      <c r="C521" s="27">
        <f>ROUND(675.731,3)</f>
        <v>675.731</v>
      </c>
      <c r="D521" s="27">
        <f>F521</f>
        <v>724.173</v>
      </c>
      <c r="E521" s="27">
        <f>F521</f>
        <v>724.173</v>
      </c>
      <c r="F521" s="27">
        <f>ROUND(724.173,3)</f>
        <v>724.173</v>
      </c>
      <c r="G521" s="24"/>
      <c r="H521" s="36"/>
    </row>
    <row r="522" spans="1:8" ht="12.75" customHeight="1">
      <c r="A522" s="22" t="s">
        <v>92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43178</v>
      </c>
      <c r="B523" s="22"/>
      <c r="C523" s="24">
        <f>ROUND(22658.8273623004,2)</f>
        <v>22658.83</v>
      </c>
      <c r="D523" s="24">
        <f>F523</f>
        <v>22988.74</v>
      </c>
      <c r="E523" s="24">
        <f>F523</f>
        <v>22988.74</v>
      </c>
      <c r="F523" s="24">
        <f>ROUND(22988.74,2)</f>
        <v>22988.74</v>
      </c>
      <c r="G523" s="24"/>
      <c r="H523" s="36"/>
    </row>
    <row r="524" spans="1:8" ht="12.75" customHeight="1">
      <c r="A524" s="22">
        <v>43269</v>
      </c>
      <c r="B524" s="22"/>
      <c r="C524" s="24">
        <f>ROUND(22658.8273623004,2)</f>
        <v>22658.83</v>
      </c>
      <c r="D524" s="24">
        <f>F524</f>
        <v>23349.81</v>
      </c>
      <c r="E524" s="24">
        <f>F524</f>
        <v>23349.81</v>
      </c>
      <c r="F524" s="24">
        <f>ROUND(23349.81,2)</f>
        <v>23349.81</v>
      </c>
      <c r="G524" s="24"/>
      <c r="H524" s="36"/>
    </row>
    <row r="525" spans="1:8" ht="12.75" customHeight="1">
      <c r="A525" s="22">
        <v>43360</v>
      </c>
      <c r="B525" s="22"/>
      <c r="C525" s="24">
        <f>ROUND(22658.8273623004,2)</f>
        <v>22658.83</v>
      </c>
      <c r="D525" s="24">
        <f>F525</f>
        <v>23711.03</v>
      </c>
      <c r="E525" s="24">
        <f>F525</f>
        <v>23711.03</v>
      </c>
      <c r="F525" s="24">
        <f>ROUND(23711.03,2)</f>
        <v>23711.03</v>
      </c>
      <c r="G525" s="24"/>
      <c r="H525" s="36"/>
    </row>
    <row r="526" spans="1:8" ht="12.75" customHeight="1">
      <c r="A526" s="22" t="s">
        <v>93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43117</v>
      </c>
      <c r="B527" s="22"/>
      <c r="C527" s="27">
        <f>ROUND(7.158,3)</f>
        <v>7.158</v>
      </c>
      <c r="D527" s="27">
        <f>ROUND(7.25,3)</f>
        <v>7.25</v>
      </c>
      <c r="E527" s="27">
        <f>ROUND(7.15,3)</f>
        <v>7.15</v>
      </c>
      <c r="F527" s="27">
        <f>ROUND(7.2,3)</f>
        <v>7.2</v>
      </c>
      <c r="G527" s="24"/>
      <c r="H527" s="36"/>
    </row>
    <row r="528" spans="1:8" ht="12.75" customHeight="1">
      <c r="A528" s="22">
        <v>43152</v>
      </c>
      <c r="B528" s="22"/>
      <c r="C528" s="27">
        <f>ROUND(7.158,3)</f>
        <v>7.158</v>
      </c>
      <c r="D528" s="27">
        <f>ROUND(7.31,3)</f>
        <v>7.31</v>
      </c>
      <c r="E528" s="27">
        <f>ROUND(7.21,3)</f>
        <v>7.21</v>
      </c>
      <c r="F528" s="27">
        <f>ROUND(7.26,3)</f>
        <v>7.26</v>
      </c>
      <c r="G528" s="24"/>
      <c r="H528" s="36"/>
    </row>
    <row r="529" spans="1:8" ht="12.75" customHeight="1">
      <c r="A529" s="22">
        <v>43179</v>
      </c>
      <c r="B529" s="22"/>
      <c r="C529" s="27">
        <f>ROUND(7.158,3)</f>
        <v>7.158</v>
      </c>
      <c r="D529" s="27">
        <f>ROUND(7.35,3)</f>
        <v>7.35</v>
      </c>
      <c r="E529" s="27">
        <f>ROUND(7.25,3)</f>
        <v>7.25</v>
      </c>
      <c r="F529" s="27">
        <f>ROUND(7.3,3)</f>
        <v>7.3</v>
      </c>
      <c r="G529" s="24"/>
      <c r="H529" s="36"/>
    </row>
    <row r="530" spans="1:8" ht="12.75" customHeight="1">
      <c r="A530" s="22">
        <v>43208</v>
      </c>
      <c r="B530" s="22"/>
      <c r="C530" s="27">
        <f>ROUND(7.158,3)</f>
        <v>7.158</v>
      </c>
      <c r="D530" s="27">
        <f>ROUND(7.38,3)</f>
        <v>7.38</v>
      </c>
      <c r="E530" s="27">
        <f>ROUND(7.28,3)</f>
        <v>7.28</v>
      </c>
      <c r="F530" s="27">
        <f>ROUND(7.33,3)</f>
        <v>7.33</v>
      </c>
      <c r="G530" s="24"/>
      <c r="H530" s="36"/>
    </row>
    <row r="531" spans="1:8" ht="12.75" customHeight="1">
      <c r="A531" s="22">
        <v>43269</v>
      </c>
      <c r="B531" s="22"/>
      <c r="C531" s="27">
        <f>ROUND(7.158,3)</f>
        <v>7.158</v>
      </c>
      <c r="D531" s="27">
        <f>ROUND(7.51,3)</f>
        <v>7.51</v>
      </c>
      <c r="E531" s="27">
        <f>ROUND(7.41,3)</f>
        <v>7.41</v>
      </c>
      <c r="F531" s="27">
        <f>ROUND(7.46,3)</f>
        <v>7.46</v>
      </c>
      <c r="G531" s="24"/>
      <c r="H531" s="36"/>
    </row>
    <row r="532" spans="1:8" ht="12.75" customHeight="1">
      <c r="A532" s="22">
        <v>43271</v>
      </c>
      <c r="B532" s="22"/>
      <c r="C532" s="27">
        <f>ROUND(7.158,3)</f>
        <v>7.158</v>
      </c>
      <c r="D532" s="27">
        <f>ROUND(7.45,3)</f>
        <v>7.45</v>
      </c>
      <c r="E532" s="27">
        <f>ROUND(7.35,3)</f>
        <v>7.35</v>
      </c>
      <c r="F532" s="27">
        <f>ROUND(7.4,3)</f>
        <v>7.4</v>
      </c>
      <c r="G532" s="24"/>
      <c r="H532" s="36"/>
    </row>
    <row r="533" spans="1:8" ht="12.75" customHeight="1">
      <c r="A533" s="22">
        <v>43362</v>
      </c>
      <c r="B533" s="22"/>
      <c r="C533" s="27">
        <f>ROUND(7.158,3)</f>
        <v>7.158</v>
      </c>
      <c r="D533" s="27">
        <f>ROUND(7.54,3)</f>
        <v>7.54</v>
      </c>
      <c r="E533" s="27">
        <f>ROUND(7.44,3)</f>
        <v>7.44</v>
      </c>
      <c r="F533" s="27">
        <f>ROUND(7.49,3)</f>
        <v>7.49</v>
      </c>
      <c r="G533" s="24"/>
      <c r="H533" s="36"/>
    </row>
    <row r="534" spans="1:8" ht="12.75" customHeight="1">
      <c r="A534" s="22">
        <v>43453</v>
      </c>
      <c r="B534" s="22"/>
      <c r="C534" s="27">
        <f>ROUND(7.158,3)</f>
        <v>7.158</v>
      </c>
      <c r="D534" s="27">
        <f>ROUND(7.63,3)</f>
        <v>7.63</v>
      </c>
      <c r="E534" s="27">
        <f>ROUND(7.53,3)</f>
        <v>7.53</v>
      </c>
      <c r="F534" s="27">
        <f>ROUND(7.58,3)</f>
        <v>7.58</v>
      </c>
      <c r="G534" s="24"/>
      <c r="H534" s="36"/>
    </row>
    <row r="535" spans="1:8" ht="12.75" customHeight="1">
      <c r="A535" s="22">
        <v>43544</v>
      </c>
      <c r="B535" s="22"/>
      <c r="C535" s="27">
        <f>ROUND(7.158,3)</f>
        <v>7.158</v>
      </c>
      <c r="D535" s="27">
        <f>ROUND(7.72,3)</f>
        <v>7.72</v>
      </c>
      <c r="E535" s="27">
        <f>ROUND(7.62,3)</f>
        <v>7.62</v>
      </c>
      <c r="F535" s="27">
        <f>ROUND(7.67,3)</f>
        <v>7.67</v>
      </c>
      <c r="G535" s="24"/>
      <c r="H535" s="36"/>
    </row>
    <row r="536" spans="1:8" ht="12.75" customHeight="1">
      <c r="A536" s="22">
        <v>43635</v>
      </c>
      <c r="B536" s="22"/>
      <c r="C536" s="27">
        <f>ROUND(7.158,3)</f>
        <v>7.158</v>
      </c>
      <c r="D536" s="27">
        <f>ROUND(7.82,3)</f>
        <v>7.82</v>
      </c>
      <c r="E536" s="27">
        <f>ROUND(7.72,3)</f>
        <v>7.72</v>
      </c>
      <c r="F536" s="27">
        <f>ROUND(7.77,3)</f>
        <v>7.77</v>
      </c>
      <c r="G536" s="24"/>
      <c r="H536" s="36"/>
    </row>
    <row r="537" spans="1:8" ht="12.75" customHeight="1">
      <c r="A537" s="22">
        <v>43726</v>
      </c>
      <c r="B537" s="22"/>
      <c r="C537" s="27">
        <f>ROUND(7.158,3)</f>
        <v>7.158</v>
      </c>
      <c r="D537" s="27">
        <f>ROUND(7.9,3)</f>
        <v>7.9</v>
      </c>
      <c r="E537" s="27">
        <f>ROUND(7.8,3)</f>
        <v>7.8</v>
      </c>
      <c r="F537" s="27">
        <f>ROUND(7.85,3)</f>
        <v>7.85</v>
      </c>
      <c r="G537" s="24"/>
      <c r="H537" s="36"/>
    </row>
    <row r="538" spans="1:8" ht="12.75" customHeight="1">
      <c r="A538" s="22" t="s">
        <v>94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43132</v>
      </c>
      <c r="B539" s="22"/>
      <c r="C539" s="27">
        <f>ROUND(580.834,3)</f>
        <v>580.834</v>
      </c>
      <c r="D539" s="27">
        <f>F539</f>
        <v>585.621</v>
      </c>
      <c r="E539" s="27">
        <f>F539</f>
        <v>585.621</v>
      </c>
      <c r="F539" s="27">
        <f>ROUND(585.621,3)</f>
        <v>585.621</v>
      </c>
      <c r="G539" s="24"/>
      <c r="H539" s="36"/>
    </row>
    <row r="540" spans="1:8" ht="12.75" customHeight="1">
      <c r="A540" s="22">
        <v>43223</v>
      </c>
      <c r="B540" s="22"/>
      <c r="C540" s="27">
        <f>ROUND(580.834,3)</f>
        <v>580.834</v>
      </c>
      <c r="D540" s="27">
        <f>F540</f>
        <v>596.562</v>
      </c>
      <c r="E540" s="27">
        <f>F540</f>
        <v>596.562</v>
      </c>
      <c r="F540" s="27">
        <f>ROUND(596.562,3)</f>
        <v>596.562</v>
      </c>
      <c r="G540" s="24"/>
      <c r="H540" s="36"/>
    </row>
    <row r="541" spans="1:8" ht="12.75" customHeight="1">
      <c r="A541" s="22">
        <v>43314</v>
      </c>
      <c r="B541" s="22"/>
      <c r="C541" s="27">
        <f>ROUND(580.834,3)</f>
        <v>580.834</v>
      </c>
      <c r="D541" s="27">
        <f>F541</f>
        <v>607.8</v>
      </c>
      <c r="E541" s="27">
        <f>F541</f>
        <v>607.8</v>
      </c>
      <c r="F541" s="27">
        <f>ROUND(607.8,3)</f>
        <v>607.8</v>
      </c>
      <c r="G541" s="24"/>
      <c r="H541" s="36"/>
    </row>
    <row r="542" spans="1:8" ht="12.75" customHeight="1">
      <c r="A542" s="22">
        <v>43405</v>
      </c>
      <c r="B542" s="22"/>
      <c r="C542" s="27">
        <f>ROUND(580.834,3)</f>
        <v>580.834</v>
      </c>
      <c r="D542" s="27">
        <f>F542</f>
        <v>619.546</v>
      </c>
      <c r="E542" s="27">
        <f>F542</f>
        <v>619.546</v>
      </c>
      <c r="F542" s="27">
        <f>ROUND(619.546,3)</f>
        <v>619.546</v>
      </c>
      <c r="G542" s="24"/>
      <c r="H542" s="36"/>
    </row>
    <row r="543" spans="1:8" ht="12.75" customHeight="1">
      <c r="A543" s="22" t="s">
        <v>12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43546</v>
      </c>
      <c r="B544" s="22"/>
      <c r="C544" s="24">
        <f>ROUND(99.503943468234,2)</f>
        <v>99.5</v>
      </c>
      <c r="D544" s="24">
        <f>F544</f>
        <v>99.5</v>
      </c>
      <c r="E544" s="24">
        <f>F544</f>
        <v>99.5</v>
      </c>
      <c r="F544" s="24">
        <f>ROUND(99.503943468234,2)</f>
        <v>99.5</v>
      </c>
      <c r="G544" s="24"/>
      <c r="H544" s="36"/>
    </row>
    <row r="545" spans="1:8" ht="12.75" customHeight="1">
      <c r="A545" s="22" t="s">
        <v>13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43913</v>
      </c>
      <c r="B546" s="22"/>
      <c r="C546" s="24">
        <f>ROUND(98.7378224624201,2)</f>
        <v>98.74</v>
      </c>
      <c r="D546" s="24">
        <f>F546</f>
        <v>98.74</v>
      </c>
      <c r="E546" s="24">
        <f>F546</f>
        <v>98.74</v>
      </c>
      <c r="F546" s="24">
        <f>ROUND(98.7378224624201,2)</f>
        <v>98.74</v>
      </c>
      <c r="G546" s="24"/>
      <c r="H546" s="36"/>
    </row>
    <row r="547" spans="1:8" ht="12.75" customHeight="1">
      <c r="A547" s="22" t="s">
        <v>14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45007</v>
      </c>
      <c r="B548" s="22"/>
      <c r="C548" s="24">
        <f>ROUND(97.0002153950431,2)</f>
        <v>97</v>
      </c>
      <c r="D548" s="24">
        <f>F548</f>
        <v>97</v>
      </c>
      <c r="E548" s="24">
        <f>F548</f>
        <v>97</v>
      </c>
      <c r="F548" s="24">
        <f>ROUND(97.0002153950431,2)</f>
        <v>97</v>
      </c>
      <c r="G548" s="24"/>
      <c r="H548" s="36"/>
    </row>
    <row r="549" spans="1:8" ht="12.75" customHeight="1">
      <c r="A549" s="22" t="s">
        <v>15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46834</v>
      </c>
      <c r="B550" s="22"/>
      <c r="C550" s="24">
        <f>ROUND(97.3234166426938,2)</f>
        <v>97.32</v>
      </c>
      <c r="D550" s="24">
        <f>F550</f>
        <v>97.32</v>
      </c>
      <c r="E550" s="24">
        <f>F550</f>
        <v>97.32</v>
      </c>
      <c r="F550" s="24">
        <f>ROUND(97.3234166426938,2)</f>
        <v>97.32</v>
      </c>
      <c r="G550" s="24"/>
      <c r="H550" s="36"/>
    </row>
    <row r="551" spans="1:8" ht="12.75" customHeight="1">
      <c r="A551" s="22" t="s">
        <v>95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43174</v>
      </c>
      <c r="B552" s="22"/>
      <c r="C552" s="26">
        <f>ROUND(99.503943468234,5)</f>
        <v>99.50394</v>
      </c>
      <c r="D552" s="26">
        <f>F552</f>
        <v>99.72458</v>
      </c>
      <c r="E552" s="26">
        <f>F552</f>
        <v>99.72458</v>
      </c>
      <c r="F552" s="26">
        <f>ROUND(99.724581720665,5)</f>
        <v>99.72458</v>
      </c>
      <c r="G552" s="24"/>
      <c r="H552" s="36"/>
    </row>
    <row r="553" spans="1:8" ht="12.75" customHeight="1">
      <c r="A553" s="22" t="s">
        <v>96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43272</v>
      </c>
      <c r="B554" s="22"/>
      <c r="C554" s="26">
        <f>ROUND(99.503943468234,5)</f>
        <v>99.50394</v>
      </c>
      <c r="D554" s="26">
        <f>F554</f>
        <v>99.88473</v>
      </c>
      <c r="E554" s="26">
        <f>F554</f>
        <v>99.88473</v>
      </c>
      <c r="F554" s="26">
        <f>ROUND(99.8847301909748,5)</f>
        <v>99.88473</v>
      </c>
      <c r="G554" s="24"/>
      <c r="H554" s="36"/>
    </row>
    <row r="555" spans="1:8" ht="12.75" customHeight="1">
      <c r="A555" s="22" t="s">
        <v>97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43363</v>
      </c>
      <c r="B556" s="22"/>
      <c r="C556" s="26">
        <f>ROUND(99.503943468234,5)</f>
        <v>99.50394</v>
      </c>
      <c r="D556" s="26">
        <f>F556</f>
        <v>100.0227</v>
      </c>
      <c r="E556" s="26">
        <f>F556</f>
        <v>100.0227</v>
      </c>
      <c r="F556" s="26">
        <f>ROUND(100.022701154754,5)</f>
        <v>100.0227</v>
      </c>
      <c r="G556" s="24"/>
      <c r="H556" s="36"/>
    </row>
    <row r="557" spans="1:8" ht="12.75" customHeight="1">
      <c r="A557" s="22" t="s">
        <v>98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43175</v>
      </c>
      <c r="B558" s="22"/>
      <c r="C558" s="26">
        <f>ROUND(98.7378224624201,5)</f>
        <v>98.73782</v>
      </c>
      <c r="D558" s="26">
        <f>F558</f>
        <v>99.0075</v>
      </c>
      <c r="E558" s="26">
        <f>F558</f>
        <v>99.0075</v>
      </c>
      <c r="F558" s="26">
        <f>ROUND(99.0075011875069,5)</f>
        <v>99.0075</v>
      </c>
      <c r="G558" s="24"/>
      <c r="H558" s="36"/>
    </row>
    <row r="559" spans="1:8" ht="12.75" customHeight="1">
      <c r="A559" s="22" t="s">
        <v>99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43266</v>
      </c>
      <c r="B560" s="22"/>
      <c r="C560" s="26">
        <f>ROUND(98.7378224624201,5)</f>
        <v>98.73782</v>
      </c>
      <c r="D560" s="26">
        <f>F560</f>
        <v>98.57241</v>
      </c>
      <c r="E560" s="26">
        <f>F560</f>
        <v>98.57241</v>
      </c>
      <c r="F560" s="26">
        <f>ROUND(98.5724069595314,5)</f>
        <v>98.57241</v>
      </c>
      <c r="G560" s="24"/>
      <c r="H560" s="36"/>
    </row>
    <row r="561" spans="1:8" ht="12.75" customHeight="1">
      <c r="A561" s="22" t="s">
        <v>100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43364</v>
      </c>
      <c r="B562" s="22"/>
      <c r="C562" s="26">
        <f>ROUND(98.7378224624201,5)</f>
        <v>98.73782</v>
      </c>
      <c r="D562" s="26">
        <f>F562</f>
        <v>98.49432</v>
      </c>
      <c r="E562" s="26">
        <f>F562</f>
        <v>98.49432</v>
      </c>
      <c r="F562" s="26">
        <f>ROUND(98.4943156937767,5)</f>
        <v>98.49432</v>
      </c>
      <c r="G562" s="24"/>
      <c r="H562" s="36"/>
    </row>
    <row r="563" spans="1:8" ht="12.75" customHeight="1">
      <c r="A563" s="22" t="s">
        <v>101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43455</v>
      </c>
      <c r="B564" s="22"/>
      <c r="C564" s="24">
        <f>ROUND(98.7378224624201,2)</f>
        <v>98.74</v>
      </c>
      <c r="D564" s="24">
        <f>F564</f>
        <v>98.86</v>
      </c>
      <c r="E564" s="24">
        <f>F564</f>
        <v>98.86</v>
      </c>
      <c r="F564" s="24">
        <f>ROUND(98.8600024382962,2)</f>
        <v>98.86</v>
      </c>
      <c r="G564" s="24"/>
      <c r="H564" s="36"/>
    </row>
    <row r="565" spans="1:8" ht="12.75" customHeight="1">
      <c r="A565" s="22" t="s">
        <v>102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43539</v>
      </c>
      <c r="B566" s="22"/>
      <c r="C566" s="26">
        <f>ROUND(98.7378224624201,5)</f>
        <v>98.73782</v>
      </c>
      <c r="D566" s="26">
        <f>F566</f>
        <v>99.2498</v>
      </c>
      <c r="E566" s="26">
        <f>F566</f>
        <v>99.2498</v>
      </c>
      <c r="F566" s="26">
        <f>ROUND(99.2497965808281,5)</f>
        <v>99.2498</v>
      </c>
      <c r="G566" s="24"/>
      <c r="H566" s="36"/>
    </row>
    <row r="567" spans="1:8" ht="12.75" customHeight="1">
      <c r="A567" s="22" t="s">
        <v>103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43637</v>
      </c>
      <c r="B568" s="22"/>
      <c r="C568" s="26">
        <f>ROUND(98.7378224624201,5)</f>
        <v>98.73782</v>
      </c>
      <c r="D568" s="26">
        <f>F568</f>
        <v>99.63587</v>
      </c>
      <c r="E568" s="26">
        <f>F568</f>
        <v>99.63587</v>
      </c>
      <c r="F568" s="26">
        <f>ROUND(99.6358735784588,5)</f>
        <v>99.63587</v>
      </c>
      <c r="G568" s="24"/>
      <c r="H568" s="36"/>
    </row>
    <row r="569" spans="1:8" ht="12.75" customHeight="1">
      <c r="A569" s="22" t="s">
        <v>104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43728</v>
      </c>
      <c r="B570" s="22"/>
      <c r="C570" s="26">
        <f>ROUND(98.7378224624201,5)</f>
        <v>98.73782</v>
      </c>
      <c r="D570" s="26">
        <f>F570</f>
        <v>100.03215</v>
      </c>
      <c r="E570" s="26">
        <f>F570</f>
        <v>100.03215</v>
      </c>
      <c r="F570" s="26">
        <f>ROUND(100.032152003134,5)</f>
        <v>100.03215</v>
      </c>
      <c r="G570" s="24"/>
      <c r="H570" s="36"/>
    </row>
    <row r="571" spans="1:8" ht="12.75" customHeight="1">
      <c r="A571" s="22" t="s">
        <v>105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44182</v>
      </c>
      <c r="B572" s="22"/>
      <c r="C572" s="26">
        <f>ROUND(97.0002153950431,5)</f>
        <v>97.00022</v>
      </c>
      <c r="D572" s="26">
        <f>F572</f>
        <v>96.25809</v>
      </c>
      <c r="E572" s="26">
        <f>F572</f>
        <v>96.25809</v>
      </c>
      <c r="F572" s="26">
        <f>ROUND(96.2580946519228,5)</f>
        <v>96.25809</v>
      </c>
      <c r="G572" s="24"/>
      <c r="H572" s="36"/>
    </row>
    <row r="573" spans="1:8" ht="12.75" customHeight="1">
      <c r="A573" s="22" t="s">
        <v>106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44271</v>
      </c>
      <c r="B574" s="22"/>
      <c r="C574" s="26">
        <f>ROUND(97.0002153950431,5)</f>
        <v>97.00022</v>
      </c>
      <c r="D574" s="26">
        <f>F574</f>
        <v>95.49103</v>
      </c>
      <c r="E574" s="26">
        <f>F574</f>
        <v>95.49103</v>
      </c>
      <c r="F574" s="26">
        <f>ROUND(95.4910250099415,5)</f>
        <v>95.49103</v>
      </c>
      <c r="G574" s="24"/>
      <c r="H574" s="36"/>
    </row>
    <row r="575" spans="1:8" ht="12.75" customHeight="1">
      <c r="A575" s="22" t="s">
        <v>107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44362</v>
      </c>
      <c r="B576" s="22"/>
      <c r="C576" s="26">
        <f>ROUND(97.0002153950431,5)</f>
        <v>97.00022</v>
      </c>
      <c r="D576" s="26">
        <f>F576</f>
        <v>94.69361</v>
      </c>
      <c r="E576" s="26">
        <f>F576</f>
        <v>94.69361</v>
      </c>
      <c r="F576" s="26">
        <f>ROUND(94.6936069777768,5)</f>
        <v>94.69361</v>
      </c>
      <c r="G576" s="24"/>
      <c r="H576" s="36"/>
    </row>
    <row r="577" spans="1:8" ht="12.75" customHeight="1">
      <c r="A577" s="22" t="s">
        <v>108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44460</v>
      </c>
      <c r="B578" s="22"/>
      <c r="C578" s="26">
        <f>ROUND(97.0002153950431,5)</f>
        <v>97.00022</v>
      </c>
      <c r="D578" s="26">
        <f>F578</f>
        <v>94.87461</v>
      </c>
      <c r="E578" s="26">
        <f>F578</f>
        <v>94.87461</v>
      </c>
      <c r="F578" s="26">
        <f>ROUND(94.8746134792031,5)</f>
        <v>94.87461</v>
      </c>
      <c r="G578" s="24"/>
      <c r="H578" s="36"/>
    </row>
    <row r="579" spans="1:8" ht="12.75" customHeight="1">
      <c r="A579" s="22" t="s">
        <v>109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44551</v>
      </c>
      <c r="B580" s="22"/>
      <c r="C580" s="26">
        <f>ROUND(97.0002153950431,5)</f>
        <v>97.00022</v>
      </c>
      <c r="D580" s="26">
        <f>F580</f>
        <v>97.07021</v>
      </c>
      <c r="E580" s="26">
        <f>F580</f>
        <v>97.07021</v>
      </c>
      <c r="F580" s="26">
        <f>ROUND(97.0702081133659,5)</f>
        <v>97.07021</v>
      </c>
      <c r="G580" s="24"/>
      <c r="H580" s="36"/>
    </row>
    <row r="581" spans="1:8" ht="12.75" customHeight="1">
      <c r="A581" s="22" t="s">
        <v>110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44635</v>
      </c>
      <c r="B582" s="22"/>
      <c r="C582" s="26">
        <f>ROUND(97.0002153950431,5)</f>
        <v>97.00022</v>
      </c>
      <c r="D582" s="26">
        <f>F582</f>
        <v>97.20721</v>
      </c>
      <c r="E582" s="26">
        <f>F582</f>
        <v>97.20721</v>
      </c>
      <c r="F582" s="26">
        <f>ROUND(97.2072100616955,5)</f>
        <v>97.20721</v>
      </c>
      <c r="G582" s="24"/>
      <c r="H582" s="36"/>
    </row>
    <row r="583" spans="1:8" ht="12.75" customHeight="1">
      <c r="A583" s="22" t="s">
        <v>111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44733</v>
      </c>
      <c r="B584" s="22"/>
      <c r="C584" s="26">
        <f>ROUND(97.0002153950431,5)</f>
        <v>97.00022</v>
      </c>
      <c r="D584" s="26">
        <f>F584</f>
        <v>98.39976</v>
      </c>
      <c r="E584" s="26">
        <f>F584</f>
        <v>98.39976</v>
      </c>
      <c r="F584" s="26">
        <f>ROUND(98.3997630384396,5)</f>
        <v>98.39976</v>
      </c>
      <c r="G584" s="24"/>
      <c r="H584" s="36"/>
    </row>
    <row r="585" spans="1:8" ht="12.75" customHeight="1">
      <c r="A585" s="22" t="s">
        <v>112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44824</v>
      </c>
      <c r="B586" s="22"/>
      <c r="C586" s="26">
        <f>ROUND(97.0002153950431,5)</f>
        <v>97.00022</v>
      </c>
      <c r="D586" s="26">
        <f>F586</f>
        <v>100.59886</v>
      </c>
      <c r="E586" s="26">
        <f>F586</f>
        <v>100.59886</v>
      </c>
      <c r="F586" s="26">
        <f>ROUND(100.598859822699,5)</f>
        <v>100.59886</v>
      </c>
      <c r="G586" s="24"/>
      <c r="H586" s="36"/>
    </row>
    <row r="587" spans="1:8" ht="12.75" customHeight="1">
      <c r="A587" s="22" t="s">
        <v>113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46008</v>
      </c>
      <c r="B588" s="22"/>
      <c r="C588" s="26">
        <f>ROUND(97.3234166426938,5)</f>
        <v>97.32342</v>
      </c>
      <c r="D588" s="26">
        <f>F588</f>
        <v>95.56956</v>
      </c>
      <c r="E588" s="26">
        <f>F588</f>
        <v>95.56956</v>
      </c>
      <c r="F588" s="26">
        <f>ROUND(95.5695584137986,5)</f>
        <v>95.56956</v>
      </c>
      <c r="G588" s="24"/>
      <c r="H588" s="36"/>
    </row>
    <row r="589" spans="1:8" ht="12.75" customHeight="1">
      <c r="A589" s="22" t="s">
        <v>114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46097</v>
      </c>
      <c r="B590" s="22"/>
      <c r="C590" s="26">
        <f>ROUND(97.3234166426938,5)</f>
        <v>97.32342</v>
      </c>
      <c r="D590" s="26">
        <f>F590</f>
        <v>92.61668</v>
      </c>
      <c r="E590" s="26">
        <f>F590</f>
        <v>92.61668</v>
      </c>
      <c r="F590" s="26">
        <f>ROUND(92.6166784517762,5)</f>
        <v>92.61668</v>
      </c>
      <c r="G590" s="24"/>
      <c r="H590" s="36"/>
    </row>
    <row r="591" spans="1:8" ht="12.75" customHeight="1">
      <c r="A591" s="22" t="s">
        <v>115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46188</v>
      </c>
      <c r="B592" s="22"/>
      <c r="C592" s="26">
        <f>ROUND(97.3234166426938,5)</f>
        <v>97.32342</v>
      </c>
      <c r="D592" s="26">
        <f>F592</f>
        <v>91.40693</v>
      </c>
      <c r="E592" s="26">
        <f>F592</f>
        <v>91.40693</v>
      </c>
      <c r="F592" s="26">
        <f>ROUND(91.4069279413758,5)</f>
        <v>91.40693</v>
      </c>
      <c r="G592" s="24"/>
      <c r="H592" s="36"/>
    </row>
    <row r="593" spans="1:8" ht="12.75" customHeight="1">
      <c r="A593" s="22" t="s">
        <v>116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46286</v>
      </c>
      <c r="B594" s="22"/>
      <c r="C594" s="26">
        <f>ROUND(97.3234166426938,5)</f>
        <v>97.32342</v>
      </c>
      <c r="D594" s="26">
        <f>F594</f>
        <v>93.59712</v>
      </c>
      <c r="E594" s="26">
        <f>F594</f>
        <v>93.59712</v>
      </c>
      <c r="F594" s="26">
        <f>ROUND(93.5971203499355,5)</f>
        <v>93.59712</v>
      </c>
      <c r="G594" s="24"/>
      <c r="H594" s="36"/>
    </row>
    <row r="595" spans="1:8" ht="12.75" customHeight="1">
      <c r="A595" s="22" t="s">
        <v>117</v>
      </c>
      <c r="B595" s="22"/>
      <c r="C595" s="23"/>
      <c r="D595" s="23"/>
      <c r="E595" s="23"/>
      <c r="F595" s="23"/>
      <c r="G595" s="24"/>
      <c r="H595" s="36"/>
    </row>
    <row r="596" spans="1:8" ht="12.75" customHeight="1">
      <c r="A596" s="22">
        <v>46377</v>
      </c>
      <c r="B596" s="22"/>
      <c r="C596" s="26">
        <f>ROUND(97.3234166426938,5)</f>
        <v>97.32342</v>
      </c>
      <c r="D596" s="26">
        <f>F596</f>
        <v>97.38466</v>
      </c>
      <c r="E596" s="26">
        <f>F596</f>
        <v>97.38466</v>
      </c>
      <c r="F596" s="26">
        <f>ROUND(97.3846596111666,5)</f>
        <v>97.38466</v>
      </c>
      <c r="G596" s="24"/>
      <c r="H596" s="36"/>
    </row>
    <row r="597" spans="1:8" ht="12.75" customHeight="1">
      <c r="A597" s="22" t="s">
        <v>118</v>
      </c>
      <c r="B597" s="22"/>
      <c r="C597" s="23"/>
      <c r="D597" s="23"/>
      <c r="E597" s="23"/>
      <c r="F597" s="23"/>
      <c r="G597" s="24"/>
      <c r="H597" s="36"/>
    </row>
    <row r="598" spans="1:8" ht="12.75" customHeight="1">
      <c r="A598" s="22">
        <v>46461</v>
      </c>
      <c r="B598" s="22"/>
      <c r="C598" s="26">
        <f>ROUND(97.3234166426938,5)</f>
        <v>97.32342</v>
      </c>
      <c r="D598" s="26">
        <f>F598</f>
        <v>95.96298</v>
      </c>
      <c r="E598" s="26">
        <f>F598</f>
        <v>95.96298</v>
      </c>
      <c r="F598" s="26">
        <f>ROUND(95.9629820111363,5)</f>
        <v>95.96298</v>
      </c>
      <c r="G598" s="24"/>
      <c r="H598" s="36"/>
    </row>
    <row r="599" spans="1:8" ht="12.75" customHeight="1">
      <c r="A599" s="22" t="s">
        <v>119</v>
      </c>
      <c r="B599" s="22"/>
      <c r="C599" s="23"/>
      <c r="D599" s="23"/>
      <c r="E599" s="23"/>
      <c r="F599" s="23"/>
      <c r="G599" s="24"/>
      <c r="H599" s="36"/>
    </row>
    <row r="600" spans="1:8" ht="12.75" customHeight="1">
      <c r="A600" s="22">
        <v>46559</v>
      </c>
      <c r="B600" s="22"/>
      <c r="C600" s="26">
        <f>ROUND(97.3234166426938,5)</f>
        <v>97.32342</v>
      </c>
      <c r="D600" s="26">
        <f>F600</f>
        <v>98.01251</v>
      </c>
      <c r="E600" s="26">
        <f>F600</f>
        <v>98.01251</v>
      </c>
      <c r="F600" s="26">
        <f>ROUND(98.0125120876452,5)</f>
        <v>98.01251</v>
      </c>
      <c r="G600" s="24"/>
      <c r="H600" s="36"/>
    </row>
    <row r="601" spans="1:8" ht="12.75" customHeight="1">
      <c r="A601" s="22" t="s">
        <v>120</v>
      </c>
      <c r="B601" s="22"/>
      <c r="C601" s="23"/>
      <c r="D601" s="23"/>
      <c r="E601" s="23"/>
      <c r="F601" s="23"/>
      <c r="G601" s="24"/>
      <c r="H601" s="36"/>
    </row>
    <row r="602" spans="1:8" ht="12.75" customHeight="1" thickBot="1">
      <c r="A602" s="32">
        <v>46650</v>
      </c>
      <c r="B602" s="32"/>
      <c r="C602" s="33">
        <f>ROUND(97.3234166426938,5)</f>
        <v>97.32342</v>
      </c>
      <c r="D602" s="33">
        <f>F602</f>
        <v>101.70003</v>
      </c>
      <c r="E602" s="33">
        <f>F602</f>
        <v>101.70003</v>
      </c>
      <c r="F602" s="33">
        <f>ROUND(101.700033858472,5)</f>
        <v>101.70003</v>
      </c>
      <c r="G602" s="34"/>
      <c r="H602" s="37"/>
    </row>
  </sheetData>
  <sheetProtection/>
  <mergeCells count="601">
    <mergeCell ref="A598:B598"/>
    <mergeCell ref="A599:B599"/>
    <mergeCell ref="A600:B600"/>
    <mergeCell ref="A601:B601"/>
    <mergeCell ref="A602:B602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2017-12-22T11:14:56Z</dcterms:modified>
  <cp:category/>
  <cp:version/>
  <cp:contentType/>
  <cp:contentStatus/>
</cp:coreProperties>
</file>