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<sst xmlns="http://schemas.openxmlformats.org/spreadsheetml/2006/main" count="125" uniqueCount="121">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</sst>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43098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ROUND(99.4457531567527,2)</f>
        <v>99.45</v>
      </c>
      <c r="D6" s="24">
        <f>F6</f>
        <v>99.72</v>
      </c>
      <c r="E6" s="24">
        <f>F6</f>
        <v>99.72</v>
      </c>
      <c r="F6" s="24">
        <f>ROUND(99.7245729510336,2)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ROUND(99.4457531567527,2)</f>
        <v>99.45</v>
      </c>
      <c r="D7" s="24">
        <f>F7</f>
        <v>99.88</v>
      </c>
      <c r="E7" s="24">
        <f>F7</f>
        <v>99.88</v>
      </c>
      <c r="F7" s="24">
        <f>ROUND(99.8762797385762,2)</f>
        <v>99.88</v>
      </c>
      <c r="G7" s="24"/>
      <c r="H7" s="36"/>
    </row>
    <row r="8" spans="1:8" ht="12.75" customHeight="1">
      <c r="A8" s="22">
        <v>43363</v>
      </c>
      <c r="B8" s="22"/>
      <c r="C8" s="24">
        <f>ROUND(99.4457531567527,2)</f>
        <v>99.45</v>
      </c>
      <c r="D8" s="24">
        <f>F8</f>
        <v>100</v>
      </c>
      <c r="E8" s="24">
        <f>F8</f>
        <v>100</v>
      </c>
      <c r="F8" s="24">
        <f>ROUND(99.9998639340521,2)</f>
        <v>100</v>
      </c>
      <c r="G8" s="24"/>
      <c r="H8" s="36"/>
    </row>
    <row r="9" spans="1:8" ht="12.75" customHeight="1">
      <c r="A9" s="22">
        <v>43454</v>
      </c>
      <c r="B9" s="22"/>
      <c r="C9" s="24">
        <f>ROUND(99.4457531567527,2)</f>
        <v>99.45</v>
      </c>
      <c r="D9" s="24">
        <f>F9</f>
        <v>100.43</v>
      </c>
      <c r="E9" s="24">
        <f>F9</f>
        <v>100.43</v>
      </c>
      <c r="F9" s="24">
        <f>ROUND(100.43364603622,2)</f>
        <v>100.43</v>
      </c>
      <c r="G9" s="24"/>
      <c r="H9" s="36"/>
    </row>
    <row r="10" spans="1:8" ht="12.75" customHeight="1">
      <c r="A10" s="22">
        <v>43546</v>
      </c>
      <c r="B10" s="22"/>
      <c r="C10" s="24">
        <f>ROUND(99.4457531567527,2)</f>
        <v>99.45</v>
      </c>
      <c r="D10" s="24">
        <f>F10</f>
        <v>99.45</v>
      </c>
      <c r="E10" s="24">
        <f>F10</f>
        <v>99.45</v>
      </c>
      <c r="F10" s="24">
        <f>ROUND(99.4457531567527,2)</f>
        <v>99.45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ROUND(98.6715540988699,2)</f>
        <v>98.67</v>
      </c>
      <c r="D12" s="24">
        <f>F12</f>
        <v>99.01</v>
      </c>
      <c r="E12" s="24">
        <f>F12</f>
        <v>99.01</v>
      </c>
      <c r="F12" s="24">
        <f>ROUND(99.0074871498584,2)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ROUND(98.6715540988699,2)</f>
        <v>98.67</v>
      </c>
      <c r="D13" s="24">
        <f>F13</f>
        <v>98.56</v>
      </c>
      <c r="E13" s="24">
        <f>F13</f>
        <v>98.56</v>
      </c>
      <c r="F13" s="24">
        <f>ROUND(98.5641738989711,2)</f>
        <v>98.56</v>
      </c>
      <c r="G13" s="24"/>
      <c r="H13" s="36"/>
    </row>
    <row r="14" spans="1:8" ht="12.75" customHeight="1">
      <c r="A14" s="22">
        <v>43364</v>
      </c>
      <c r="B14" s="22"/>
      <c r="C14" s="24">
        <f>ROUND(98.6715540988699,2)</f>
        <v>98.67</v>
      </c>
      <c r="D14" s="24">
        <f>F14</f>
        <v>98.47</v>
      </c>
      <c r="E14" s="24">
        <f>F14</f>
        <v>98.47</v>
      </c>
      <c r="F14" s="24">
        <f>ROUND(98.4713458139025,2)</f>
        <v>98.47</v>
      </c>
      <c r="G14" s="24"/>
      <c r="H14" s="36"/>
    </row>
    <row r="15" spans="1:8" ht="12.75" customHeight="1">
      <c r="A15" s="22">
        <v>43455</v>
      </c>
      <c r="B15" s="22"/>
      <c r="C15" s="24">
        <f>ROUND(98.6715540988699,2)</f>
        <v>98.67</v>
      </c>
      <c r="D15" s="24">
        <f>F15</f>
        <v>98.82</v>
      </c>
      <c r="E15" s="24">
        <f>F15</f>
        <v>98.82</v>
      </c>
      <c r="F15" s="24">
        <f>ROUND(98.8164667800332,2)</f>
        <v>98.82</v>
      </c>
      <c r="G15" s="24"/>
      <c r="H15" s="36"/>
    </row>
    <row r="16" spans="1:8" ht="12.75" customHeight="1">
      <c r="A16" s="22">
        <v>43539</v>
      </c>
      <c r="B16" s="22"/>
      <c r="C16" s="24">
        <f>ROUND(98.6715540988699,2)</f>
        <v>98.67</v>
      </c>
      <c r="D16" s="24">
        <f>F16</f>
        <v>99.19</v>
      </c>
      <c r="E16" s="24">
        <f>F16</f>
        <v>99.19</v>
      </c>
      <c r="F16" s="24">
        <f>ROUND(99.1947790987548,2)</f>
        <v>99.19</v>
      </c>
      <c r="G16" s="24"/>
      <c r="H16" s="36"/>
    </row>
    <row r="17" spans="1:8" ht="12.75" customHeight="1">
      <c r="A17" s="22">
        <v>43637</v>
      </c>
      <c r="B17" s="22"/>
      <c r="C17" s="24">
        <f>ROUND(98.6715540988699,2)</f>
        <v>98.67</v>
      </c>
      <c r="D17" s="24">
        <f>F17</f>
        <v>99.56</v>
      </c>
      <c r="E17" s="24">
        <f>F17</f>
        <v>99.56</v>
      </c>
      <c r="F17" s="24">
        <f>ROUND(99.5612506740105,2)</f>
        <v>99.56</v>
      </c>
      <c r="G17" s="24"/>
      <c r="H17" s="36"/>
    </row>
    <row r="18" spans="1:8" ht="12.75" customHeight="1">
      <c r="A18" s="22">
        <v>43728</v>
      </c>
      <c r="B18" s="22"/>
      <c r="C18" s="24">
        <f>ROUND(98.6715540988699,2)</f>
        <v>98.67</v>
      </c>
      <c r="D18" s="24">
        <f>F18</f>
        <v>99.94</v>
      </c>
      <c r="E18" s="24">
        <f>F18</f>
        <v>99.94</v>
      </c>
      <c r="F18" s="24">
        <f>ROUND(99.9402838247001,2)</f>
        <v>99.94</v>
      </c>
      <c r="G18" s="24"/>
      <c r="H18" s="36"/>
    </row>
    <row r="19" spans="1:8" ht="12.75" customHeight="1">
      <c r="A19" s="22">
        <v>43819</v>
      </c>
      <c r="B19" s="22"/>
      <c r="C19" s="24">
        <f>ROUND(98.6715540988699,2)</f>
        <v>98.67</v>
      </c>
      <c r="D19" s="24">
        <f>F19</f>
        <v>100.91</v>
      </c>
      <c r="E19" s="24">
        <f>F19</f>
        <v>100.91</v>
      </c>
      <c r="F19" s="24">
        <f>ROUND(100.908106819778,2)</f>
        <v>100.91</v>
      </c>
      <c r="G19" s="24"/>
      <c r="H19" s="36"/>
    </row>
    <row r="20" spans="1:8" ht="12.75" customHeight="1">
      <c r="A20" s="22">
        <v>43913</v>
      </c>
      <c r="B20" s="22"/>
      <c r="C20" s="24">
        <f>ROUND(98.6715540988699,2)</f>
        <v>98.67</v>
      </c>
      <c r="D20" s="24">
        <f>F20</f>
        <v>98.67</v>
      </c>
      <c r="E20" s="24">
        <f>F20</f>
        <v>98.67</v>
      </c>
      <c r="F20" s="24">
        <f>ROUND(98.6715540988699,2)</f>
        <v>98.67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ROUND(96.6375126728547,2)</f>
        <v>96.64</v>
      </c>
      <c r="D22" s="24">
        <f>F22</f>
        <v>96.07</v>
      </c>
      <c r="E22" s="24">
        <f>F22</f>
        <v>96.07</v>
      </c>
      <c r="F22" s="24">
        <f>ROUND(96.068919604882,2)</f>
        <v>96.07</v>
      </c>
      <c r="G22" s="24"/>
      <c r="H22" s="36"/>
    </row>
    <row r="23" spans="1:8" ht="12.75" customHeight="1">
      <c r="A23" s="22">
        <v>44271</v>
      </c>
      <c r="B23" s="22"/>
      <c r="C23" s="24">
        <f>ROUND(96.6375126728547,2)</f>
        <v>96.64</v>
      </c>
      <c r="D23" s="24">
        <f>F23</f>
        <v>95.28</v>
      </c>
      <c r="E23" s="24">
        <f>F23</f>
        <v>95.28</v>
      </c>
      <c r="F23" s="24">
        <f>ROUND(95.2839549384534,2)</f>
        <v>95.28</v>
      </c>
      <c r="G23" s="24"/>
      <c r="H23" s="36"/>
    </row>
    <row r="24" spans="1:8" ht="12.75" customHeight="1">
      <c r="A24" s="22">
        <v>44362</v>
      </c>
      <c r="B24" s="22"/>
      <c r="C24" s="24">
        <f>ROUND(96.6375126728547,2)</f>
        <v>96.64</v>
      </c>
      <c r="D24" s="24">
        <f>F24</f>
        <v>94.47</v>
      </c>
      <c r="E24" s="24">
        <f>F24</f>
        <v>94.47</v>
      </c>
      <c r="F24" s="24">
        <f>ROUND(94.4744693233758,2)</f>
        <v>94.47</v>
      </c>
      <c r="G24" s="24"/>
      <c r="H24" s="36"/>
    </row>
    <row r="25" spans="1:8" ht="12.75" customHeight="1">
      <c r="A25" s="22">
        <v>44460</v>
      </c>
      <c r="B25" s="22"/>
      <c r="C25" s="24">
        <f>ROUND(96.6375126728547,2)</f>
        <v>96.64</v>
      </c>
      <c r="D25" s="24">
        <f>F25</f>
        <v>94.64</v>
      </c>
      <c r="E25" s="24">
        <f>F25</f>
        <v>94.64</v>
      </c>
      <c r="F25" s="24">
        <f>ROUND(94.6441708742669,2)</f>
        <v>94.64</v>
      </c>
      <c r="G25" s="24"/>
      <c r="H25" s="36"/>
    </row>
    <row r="26" spans="1:8" ht="12.75" customHeight="1">
      <c r="A26" s="22">
        <v>44551</v>
      </c>
      <c r="B26" s="22"/>
      <c r="C26" s="24">
        <f>ROUND(96.6375126728547,2)</f>
        <v>96.64</v>
      </c>
      <c r="D26" s="24">
        <f>F26</f>
        <v>96.83</v>
      </c>
      <c r="E26" s="24">
        <f>F26</f>
        <v>96.83</v>
      </c>
      <c r="F26" s="24">
        <f>ROUND(96.8286782039127,2)</f>
        <v>96.83</v>
      </c>
      <c r="G26" s="24"/>
      <c r="H26" s="36"/>
    </row>
    <row r="27" spans="1:8" ht="12.75" customHeight="1">
      <c r="A27" s="22">
        <v>44635</v>
      </c>
      <c r="B27" s="22"/>
      <c r="C27" s="24">
        <f>ROUND(96.6375126728547,2)</f>
        <v>96.64</v>
      </c>
      <c r="D27" s="24">
        <f>F27</f>
        <v>96.95</v>
      </c>
      <c r="E27" s="24">
        <f>F27</f>
        <v>96.95</v>
      </c>
      <c r="F27" s="24">
        <f>ROUND(96.949687511707,2)</f>
        <v>96.95</v>
      </c>
      <c r="G27" s="24"/>
      <c r="H27" s="36"/>
    </row>
    <row r="28" spans="1:8" ht="12.75" customHeight="1">
      <c r="A28" s="22">
        <v>44733</v>
      </c>
      <c r="B28" s="22"/>
      <c r="C28" s="24">
        <f>ROUND(96.6375126728547,2)</f>
        <v>96.64</v>
      </c>
      <c r="D28" s="24">
        <f>F28</f>
        <v>98.12</v>
      </c>
      <c r="E28" s="24">
        <f>F28</f>
        <v>98.12</v>
      </c>
      <c r="F28" s="24">
        <f>ROUND(98.1172833411121,2)</f>
        <v>98.12</v>
      </c>
      <c r="G28" s="24"/>
      <c r="H28" s="36"/>
    </row>
    <row r="29" spans="1:8" ht="12.75" customHeight="1">
      <c r="A29" s="22">
        <v>44824</v>
      </c>
      <c r="B29" s="22"/>
      <c r="C29" s="24">
        <f>ROUND(96.6375126728547,2)</f>
        <v>96.64</v>
      </c>
      <c r="D29" s="24">
        <f>F29</f>
        <v>100.3</v>
      </c>
      <c r="E29" s="24">
        <f>F29</f>
        <v>100.3</v>
      </c>
      <c r="F29" s="24">
        <f>ROUND(100.295098235481,2)</f>
        <v>100.3</v>
      </c>
      <c r="G29" s="24"/>
      <c r="H29" s="36"/>
    </row>
    <row r="30" spans="1:8" ht="12.75" customHeight="1">
      <c r="A30" s="22">
        <v>44915</v>
      </c>
      <c r="B30" s="22"/>
      <c r="C30" s="24">
        <f>ROUND(96.6375126728547,2)</f>
        <v>96.64</v>
      </c>
      <c r="D30" s="24">
        <f>F30</f>
        <v>101.53</v>
      </c>
      <c r="E30" s="24">
        <f>F30</f>
        <v>101.53</v>
      </c>
      <c r="F30" s="24">
        <f>ROUND(101.529323018031,2)</f>
        <v>101.53</v>
      </c>
      <c r="G30" s="24"/>
      <c r="H30" s="36"/>
    </row>
    <row r="31" spans="1:8" ht="12.75" customHeight="1">
      <c r="A31" s="22">
        <v>45007</v>
      </c>
      <c r="B31" s="22"/>
      <c r="C31" s="24">
        <f>ROUND(96.6375126728547,2)</f>
        <v>96.64</v>
      </c>
      <c r="D31" s="24">
        <f>F31</f>
        <v>96.64</v>
      </c>
      <c r="E31" s="24">
        <f>F31</f>
        <v>96.64</v>
      </c>
      <c r="F31" s="24">
        <f>ROUND(96.6375126728547,2)</f>
        <v>96.64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ROUND(96.7982253653543,2)</f>
        <v>96.8</v>
      </c>
      <c r="D33" s="24">
        <f>F33</f>
        <v>95.09</v>
      </c>
      <c r="E33" s="24">
        <f>F33</f>
        <v>95.09</v>
      </c>
      <c r="F33" s="24">
        <f>ROUND(95.0882270980295,2)</f>
        <v>95.09</v>
      </c>
      <c r="G33" s="24"/>
      <c r="H33" s="36"/>
    </row>
    <row r="34" spans="1:8" ht="12.75" customHeight="1">
      <c r="A34" s="22">
        <v>46097</v>
      </c>
      <c r="B34" s="22"/>
      <c r="C34" s="24">
        <f>ROUND(96.7982253653543,2)</f>
        <v>96.8</v>
      </c>
      <c r="D34" s="24">
        <f>F34</f>
        <v>92.11</v>
      </c>
      <c r="E34" s="24">
        <f>F34</f>
        <v>92.11</v>
      </c>
      <c r="F34" s="24">
        <f>ROUND(92.1106699511599,2)</f>
        <v>92.11</v>
      </c>
      <c r="G34" s="24"/>
      <c r="H34" s="36"/>
    </row>
    <row r="35" spans="1:8" ht="12.75" customHeight="1">
      <c r="A35" s="22">
        <v>46188</v>
      </c>
      <c r="B35" s="22"/>
      <c r="C35" s="24">
        <f>ROUND(96.7982253653543,2)</f>
        <v>96.8</v>
      </c>
      <c r="D35" s="24">
        <f>F35</f>
        <v>90.88</v>
      </c>
      <c r="E35" s="24">
        <f>F35</f>
        <v>90.88</v>
      </c>
      <c r="F35" s="24">
        <f>ROUND(90.8750973083255,2)</f>
        <v>90.88</v>
      </c>
      <c r="G35" s="24"/>
      <c r="H35" s="36"/>
    </row>
    <row r="36" spans="1:8" ht="12.75" customHeight="1">
      <c r="A36" s="22">
        <v>46286</v>
      </c>
      <c r="B36" s="22"/>
      <c r="C36" s="24">
        <f>ROUND(96.7982253653543,2)</f>
        <v>96.8</v>
      </c>
      <c r="D36" s="24">
        <f>F36</f>
        <v>93.05</v>
      </c>
      <c r="E36" s="24">
        <f>F36</f>
        <v>93.05</v>
      </c>
      <c r="F36" s="24">
        <f>ROUND(93.0489890392151,2)</f>
        <v>93.05</v>
      </c>
      <c r="G36" s="24"/>
      <c r="H36" s="36"/>
    </row>
    <row r="37" spans="1:8" ht="12.75" customHeight="1">
      <c r="A37" s="22">
        <v>46377</v>
      </c>
      <c r="B37" s="22"/>
      <c r="C37" s="24">
        <f>ROUND(96.7982253653543,2)</f>
        <v>96.8</v>
      </c>
      <c r="D37" s="24">
        <f>F37</f>
        <v>96.84</v>
      </c>
      <c r="E37" s="24">
        <f>F37</f>
        <v>96.84</v>
      </c>
      <c r="F37" s="24">
        <f>ROUND(96.8373489945856,2)</f>
        <v>96.84</v>
      </c>
      <c r="G37" s="24"/>
      <c r="H37" s="36"/>
    </row>
    <row r="38" spans="1:8" ht="12.75" customHeight="1">
      <c r="A38" s="22">
        <v>46461</v>
      </c>
      <c r="B38" s="22"/>
      <c r="C38" s="24">
        <f>ROUND(96.7982253653543,2)</f>
        <v>96.8</v>
      </c>
      <c r="D38" s="24">
        <f>F38</f>
        <v>95.41</v>
      </c>
      <c r="E38" s="24">
        <f>F38</f>
        <v>95.41</v>
      </c>
      <c r="F38" s="24">
        <f>ROUND(95.4134021410731,2)</f>
        <v>95.41</v>
      </c>
      <c r="G38" s="24"/>
      <c r="H38" s="36"/>
    </row>
    <row r="39" spans="1:8" ht="12.75" customHeight="1">
      <c r="A39" s="22">
        <v>46559</v>
      </c>
      <c r="B39" s="22"/>
      <c r="C39" s="24">
        <f>ROUND(96.7982253653543,2)</f>
        <v>96.8</v>
      </c>
      <c r="D39" s="24">
        <f>F39</f>
        <v>97.48</v>
      </c>
      <c r="E39" s="24">
        <f>F39</f>
        <v>97.48</v>
      </c>
      <c r="F39" s="24">
        <f>ROUND(97.4764045128281,2)</f>
        <v>97.48</v>
      </c>
      <c r="G39" s="24"/>
      <c r="H39" s="36"/>
    </row>
    <row r="40" spans="1:8" ht="12.75" customHeight="1">
      <c r="A40" s="22">
        <v>46650</v>
      </c>
      <c r="B40" s="22"/>
      <c r="C40" s="24">
        <f>ROUND(96.7982253653543,2)</f>
        <v>96.8</v>
      </c>
      <c r="D40" s="24">
        <f>F40</f>
        <v>101.19</v>
      </c>
      <c r="E40" s="24">
        <f>F40</f>
        <v>101.19</v>
      </c>
      <c r="F40" s="24">
        <f>ROUND(101.18614632052,2)</f>
        <v>101.19</v>
      </c>
      <c r="G40" s="24"/>
      <c r="H40" s="36"/>
    </row>
    <row r="41" spans="1:8" ht="12.75" customHeight="1">
      <c r="A41" s="22">
        <v>46741</v>
      </c>
      <c r="B41" s="22"/>
      <c r="C41" s="24">
        <f>ROUND(96.7982253653543,2)</f>
        <v>96.8</v>
      </c>
      <c r="D41" s="24">
        <f>F41</f>
        <v>101.54</v>
      </c>
      <c r="E41" s="24">
        <f>F41</f>
        <v>101.54</v>
      </c>
      <c r="F41" s="24">
        <f>ROUND(101.535221988625,2)</f>
        <v>101.54</v>
      </c>
      <c r="G41" s="24"/>
      <c r="H41" s="36"/>
    </row>
    <row r="42" spans="1:8" ht="12.75" customHeight="1">
      <c r="A42" s="22">
        <v>46834</v>
      </c>
      <c r="B42" s="22"/>
      <c r="C42" s="24">
        <f>ROUND(96.7982253653543,2)</f>
        <v>96.8</v>
      </c>
      <c r="D42" s="24">
        <f>F42</f>
        <v>96.8</v>
      </c>
      <c r="E42" s="24">
        <f>F42</f>
        <v>96.8</v>
      </c>
      <c r="F42" s="24">
        <f>ROUND(96.7982253653543,2)</f>
        <v>96.8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ROUND(2.5,5)</f>
        <v>2.5</v>
      </c>
      <c r="D44" s="26">
        <f>F44</f>
        <v>2.5</v>
      </c>
      <c r="E44" s="26">
        <f>F44</f>
        <v>2.5</v>
      </c>
      <c r="F44" s="26">
        <f>ROUND(2.5,5)</f>
        <v>2.5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ROUND(2.56,5)</f>
        <v>2.56</v>
      </c>
      <c r="D46" s="26">
        <f>F46</f>
        <v>2.56</v>
      </c>
      <c r="E46" s="26">
        <f>F46</f>
        <v>2.56</v>
      </c>
      <c r="F46" s="26">
        <f>ROUND(2.56,5)</f>
        <v>2.56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ROUND(2.59,5)</f>
        <v>2.59</v>
      </c>
      <c r="D48" s="26">
        <f>F48</f>
        <v>2.59</v>
      </c>
      <c r="E48" s="26">
        <f>F48</f>
        <v>2.59</v>
      </c>
      <c r="F48" s="26">
        <f>ROUND(2.59,5)</f>
        <v>2.59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ROUND(3.26,5)</f>
        <v>3.26</v>
      </c>
      <c r="D50" s="26">
        <f>F50</f>
        <v>3.26</v>
      </c>
      <c r="E50" s="26">
        <f>F50</f>
        <v>3.26</v>
      </c>
      <c r="F50" s="26">
        <f>ROUND(3.26,5)</f>
        <v>3.26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ROUND(10.715,5)</f>
        <v>10.715</v>
      </c>
      <c r="D52" s="26">
        <f>F52</f>
        <v>10.715</v>
      </c>
      <c r="E52" s="26">
        <f>F52</f>
        <v>10.715</v>
      </c>
      <c r="F52" s="26">
        <f>ROUND(10.715,5)</f>
        <v>10.715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ROUND(7.895,5)</f>
        <v>7.895</v>
      </c>
      <c r="D54" s="26">
        <f>F54</f>
        <v>7.895</v>
      </c>
      <c r="E54" s="26">
        <f>F54</f>
        <v>7.895</v>
      </c>
      <c r="F54" s="26">
        <f>ROUND(7.895,5)</f>
        <v>7.895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ROUND(8.59,3)</f>
        <v>8.59</v>
      </c>
      <c r="D56" s="27">
        <f>F56</f>
        <v>8.59</v>
      </c>
      <c r="E56" s="27">
        <f>F56</f>
        <v>8.59</v>
      </c>
      <c r="F56" s="27">
        <f>ROUND(8.59,3)</f>
        <v>8.59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ROUND(2.38,3)</f>
        <v>2.38</v>
      </c>
      <c r="D58" s="27">
        <f>F58</f>
        <v>2.38</v>
      </c>
      <c r="E58" s="27">
        <f>F58</f>
        <v>2.38</v>
      </c>
      <c r="F58" s="27">
        <f>ROUND(2.38,3)</f>
        <v>2.38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ROUND(2.56,3)</f>
        <v>2.56</v>
      </c>
      <c r="D60" s="27">
        <f>F60</f>
        <v>2.56</v>
      </c>
      <c r="E60" s="27">
        <f>F60</f>
        <v>2.56</v>
      </c>
      <c r="F60" s="27">
        <f>ROUND(2.56,3)</f>
        <v>2.56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ROUND(7.065,3)</f>
        <v>7.065</v>
      </c>
      <c r="D62" s="27">
        <f>F62</f>
        <v>7.065</v>
      </c>
      <c r="E62" s="27">
        <f>F62</f>
        <v>7.065</v>
      </c>
      <c r="F62" s="27">
        <f>ROUND(7.065,3)</f>
        <v>7.065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ROUND(7.28,3)</f>
        <v>7.28</v>
      </c>
      <c r="D64" s="27">
        <f>F64</f>
        <v>7.28</v>
      </c>
      <c r="E64" s="27">
        <f>F64</f>
        <v>7.28</v>
      </c>
      <c r="F64" s="27">
        <f>ROUND(7.28,3)</f>
        <v>7.28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ROUND(7.56,3)</f>
        <v>7.56</v>
      </c>
      <c r="D66" s="27">
        <f>F66</f>
        <v>7.56</v>
      </c>
      <c r="E66" s="27">
        <f>F66</f>
        <v>7.56</v>
      </c>
      <c r="F66" s="27">
        <f>ROUND(7.56,3)</f>
        <v>7.56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ROUND(9.475,3)</f>
        <v>9.475</v>
      </c>
      <c r="D68" s="27">
        <f>F68</f>
        <v>9.475</v>
      </c>
      <c r="E68" s="27">
        <f>F68</f>
        <v>9.475</v>
      </c>
      <c r="F68" s="27">
        <f>ROUND(9.475,3)</f>
        <v>9.475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ROUND(2.54,3)</f>
        <v>2.54</v>
      </c>
      <c r="D70" s="27">
        <f>F70</f>
        <v>2.54</v>
      </c>
      <c r="E70" s="27">
        <f>F70</f>
        <v>2.54</v>
      </c>
      <c r="F70" s="27">
        <f>ROUND(2.54,3)</f>
        <v>2.54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ROUND(9.22,3)</f>
        <v>9.22</v>
      </c>
      <c r="D74" s="27">
        <f>F74</f>
        <v>9.22</v>
      </c>
      <c r="E74" s="27">
        <f>F74</f>
        <v>9.22</v>
      </c>
      <c r="F74" s="27">
        <f>ROUND(9.22,3)</f>
        <v>9.22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ROUND(2.5,5)</f>
        <v>2.5</v>
      </c>
      <c r="D76" s="26">
        <f>F76</f>
        <v>130.10553</v>
      </c>
      <c r="E76" s="26">
        <f>F76</f>
        <v>130.10553</v>
      </c>
      <c r="F76" s="26">
        <f>ROUND(130.10553,5)</f>
        <v>130.10553</v>
      </c>
      <c r="G76" s="24"/>
      <c r="H76" s="36"/>
    </row>
    <row r="77" spans="1:8" ht="12.75" customHeight="1">
      <c r="A77" s="22">
        <v>43223</v>
      </c>
      <c r="B77" s="22"/>
      <c r="C77" s="26">
        <f>ROUND(2.5,5)</f>
        <v>2.5</v>
      </c>
      <c r="D77" s="26">
        <f>F77</f>
        <v>132.54491</v>
      </c>
      <c r="E77" s="26">
        <f>F77</f>
        <v>132.54491</v>
      </c>
      <c r="F77" s="26">
        <f>ROUND(132.54491,5)</f>
        <v>132.54491</v>
      </c>
      <c r="G77" s="24"/>
      <c r="H77" s="36"/>
    </row>
    <row r="78" spans="1:8" ht="12.75" customHeight="1">
      <c r="A78" s="22">
        <v>43314</v>
      </c>
      <c r="B78" s="22"/>
      <c r="C78" s="26">
        <f>ROUND(2.5,5)</f>
        <v>2.5</v>
      </c>
      <c r="D78" s="26">
        <f>F78</f>
        <v>135.01285</v>
      </c>
      <c r="E78" s="26">
        <f>F78</f>
        <v>135.01285</v>
      </c>
      <c r="F78" s="26">
        <f>ROUND(135.01285,5)</f>
        <v>135.01285</v>
      </c>
      <c r="G78" s="24"/>
      <c r="H78" s="36"/>
    </row>
    <row r="79" spans="1:8" ht="12.75" customHeight="1">
      <c r="A79" s="22">
        <v>43405</v>
      </c>
      <c r="B79" s="22"/>
      <c r="C79" s="26">
        <f>ROUND(2.5,5)</f>
        <v>2.5</v>
      </c>
      <c r="D79" s="26">
        <f>F79</f>
        <v>137.66726</v>
      </c>
      <c r="E79" s="26">
        <f>F79</f>
        <v>137.66726</v>
      </c>
      <c r="F79" s="26">
        <f>ROUND(137.66726,5)</f>
        <v>137.66726</v>
      </c>
      <c r="G79" s="24"/>
      <c r="H79" s="36"/>
    </row>
    <row r="80" spans="1:8" ht="12.75" customHeight="1">
      <c r="A80" s="22">
        <v>43503</v>
      </c>
      <c r="B80" s="22"/>
      <c r="C80" s="26">
        <f>ROUND(2.5,5)</f>
        <v>2.5</v>
      </c>
      <c r="D80" s="26">
        <f>F80</f>
        <v>140.48462</v>
      </c>
      <c r="E80" s="26">
        <f>F80</f>
        <v>140.48462</v>
      </c>
      <c r="F80" s="26">
        <f>ROUND(140.48462,5)</f>
        <v>140.48462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ROUND(100.38138,5)</f>
        <v>100.38138</v>
      </c>
      <c r="D82" s="26">
        <f>F82</f>
        <v>101.04787</v>
      </c>
      <c r="E82" s="26">
        <f>F82</f>
        <v>101.04787</v>
      </c>
      <c r="F82" s="26">
        <f>ROUND(101.04787,5)</f>
        <v>101.04787</v>
      </c>
      <c r="G82" s="24"/>
      <c r="H82" s="36"/>
    </row>
    <row r="83" spans="1:8" ht="12.75" customHeight="1">
      <c r="A83" s="22">
        <v>43223</v>
      </c>
      <c r="B83" s="22"/>
      <c r="C83" s="26">
        <f>ROUND(100.38138,5)</f>
        <v>100.38138</v>
      </c>
      <c r="D83" s="26">
        <f>F83</f>
        <v>101.92434</v>
      </c>
      <c r="E83" s="26">
        <f>F83</f>
        <v>101.92434</v>
      </c>
      <c r="F83" s="26">
        <f>ROUND(101.92434,5)</f>
        <v>101.92434</v>
      </c>
      <c r="G83" s="24"/>
      <c r="H83" s="36"/>
    </row>
    <row r="84" spans="1:8" ht="12.75" customHeight="1">
      <c r="A84" s="22">
        <v>43314</v>
      </c>
      <c r="B84" s="22"/>
      <c r="C84" s="26">
        <f>ROUND(100.38138,5)</f>
        <v>100.38138</v>
      </c>
      <c r="D84" s="26">
        <f>F84</f>
        <v>103.85638</v>
      </c>
      <c r="E84" s="26">
        <f>F84</f>
        <v>103.85638</v>
      </c>
      <c r="F84" s="26">
        <f>ROUND(103.85638,5)</f>
        <v>103.85638</v>
      </c>
      <c r="G84" s="24"/>
      <c r="H84" s="36"/>
    </row>
    <row r="85" spans="1:8" ht="12.75" customHeight="1">
      <c r="A85" s="22">
        <v>43405</v>
      </c>
      <c r="B85" s="22"/>
      <c r="C85" s="26">
        <f>ROUND(100.38138,5)</f>
        <v>100.38138</v>
      </c>
      <c r="D85" s="26">
        <f>F85</f>
        <v>105.89829</v>
      </c>
      <c r="E85" s="26">
        <f>F85</f>
        <v>105.89829</v>
      </c>
      <c r="F85" s="26">
        <f>ROUND(105.89829,5)</f>
        <v>105.89829</v>
      </c>
      <c r="G85" s="24"/>
      <c r="H85" s="36"/>
    </row>
    <row r="86" spans="1:8" ht="12.75" customHeight="1">
      <c r="A86" s="22">
        <v>43503</v>
      </c>
      <c r="B86" s="22"/>
      <c r="C86" s="26">
        <f>ROUND(100.38138,5)</f>
        <v>100.38138</v>
      </c>
      <c r="D86" s="26">
        <f>F86</f>
        <v>108.06537</v>
      </c>
      <c r="E86" s="26">
        <f>F86</f>
        <v>108.06537</v>
      </c>
      <c r="F86" s="26">
        <f>ROUND(108.06537,5)</f>
        <v>108.06537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ROUND(9.17,5)</f>
        <v>9.17</v>
      </c>
      <c r="D88" s="26">
        <f>F88</f>
        <v>9.19063</v>
      </c>
      <c r="E88" s="26">
        <f>F88</f>
        <v>9.19063</v>
      </c>
      <c r="F88" s="26">
        <f>ROUND(9.19063,5)</f>
        <v>9.19063</v>
      </c>
      <c r="G88" s="24"/>
      <c r="H88" s="36"/>
    </row>
    <row r="89" spans="1:8" ht="12.75" customHeight="1">
      <c r="A89" s="22">
        <v>43223</v>
      </c>
      <c r="B89" s="22"/>
      <c r="C89" s="26">
        <f>ROUND(9.17,5)</f>
        <v>9.17</v>
      </c>
      <c r="D89" s="26">
        <f>F89</f>
        <v>9.24779</v>
      </c>
      <c r="E89" s="26">
        <f>F89</f>
        <v>9.24779</v>
      </c>
      <c r="F89" s="26">
        <f>ROUND(9.24779,5)</f>
        <v>9.24779</v>
      </c>
      <c r="G89" s="24"/>
      <c r="H89" s="36"/>
    </row>
    <row r="90" spans="1:8" ht="12.75" customHeight="1">
      <c r="A90" s="22">
        <v>43314</v>
      </c>
      <c r="B90" s="22"/>
      <c r="C90" s="26">
        <f>ROUND(9.17,5)</f>
        <v>9.17</v>
      </c>
      <c r="D90" s="26">
        <f>F90</f>
        <v>9.30694</v>
      </c>
      <c r="E90" s="26">
        <f>F90</f>
        <v>9.30694</v>
      </c>
      <c r="F90" s="26">
        <f>ROUND(9.30694,5)</f>
        <v>9.30694</v>
      </c>
      <c r="G90" s="24"/>
      <c r="H90" s="36"/>
    </row>
    <row r="91" spans="1:8" ht="12.75" customHeight="1">
      <c r="A91" s="22">
        <v>43405</v>
      </c>
      <c r="B91" s="22"/>
      <c r="C91" s="26">
        <f>ROUND(9.17,5)</f>
        <v>9.17</v>
      </c>
      <c r="D91" s="26">
        <f>F91</f>
        <v>9.35518</v>
      </c>
      <c r="E91" s="26">
        <f>F91</f>
        <v>9.35518</v>
      </c>
      <c r="F91" s="26">
        <f>ROUND(9.35518,5)</f>
        <v>9.35518</v>
      </c>
      <c r="G91" s="24"/>
      <c r="H91" s="36"/>
    </row>
    <row r="92" spans="1:8" ht="12.75" customHeight="1">
      <c r="A92" s="22">
        <v>43503</v>
      </c>
      <c r="B92" s="22"/>
      <c r="C92" s="26">
        <f>ROUND(9.17,5)</f>
        <v>9.17</v>
      </c>
      <c r="D92" s="26">
        <f>F92</f>
        <v>9.41743</v>
      </c>
      <c r="E92" s="26">
        <f>F92</f>
        <v>9.41743</v>
      </c>
      <c r="F92" s="26">
        <f>ROUND(9.41743,5)</f>
        <v>9.41743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ROUND(9.335,5)</f>
        <v>9.335</v>
      </c>
      <c r="D94" s="26">
        <f>F94</f>
        <v>9.35671</v>
      </c>
      <c r="E94" s="26">
        <f>F94</f>
        <v>9.35671</v>
      </c>
      <c r="F94" s="26">
        <f>ROUND(9.35671,5)</f>
        <v>9.35671</v>
      </c>
      <c r="G94" s="24"/>
      <c r="H94" s="36"/>
    </row>
    <row r="95" spans="1:8" ht="12.75" customHeight="1">
      <c r="A95" s="22">
        <v>43223</v>
      </c>
      <c r="B95" s="22"/>
      <c r="C95" s="26">
        <f>ROUND(9.335,5)</f>
        <v>9.335</v>
      </c>
      <c r="D95" s="26">
        <f>F95</f>
        <v>9.41315</v>
      </c>
      <c r="E95" s="26">
        <f>F95</f>
        <v>9.41315</v>
      </c>
      <c r="F95" s="26">
        <f>ROUND(9.41315,5)</f>
        <v>9.41315</v>
      </c>
      <c r="G95" s="24"/>
      <c r="H95" s="36"/>
    </row>
    <row r="96" spans="1:8" ht="12.75" customHeight="1">
      <c r="A96" s="22">
        <v>43314</v>
      </c>
      <c r="B96" s="22"/>
      <c r="C96" s="26">
        <f>ROUND(9.335,5)</f>
        <v>9.335</v>
      </c>
      <c r="D96" s="26">
        <f>F96</f>
        <v>9.46939</v>
      </c>
      <c r="E96" s="26">
        <f>F96</f>
        <v>9.46939</v>
      </c>
      <c r="F96" s="26">
        <f>ROUND(9.46939,5)</f>
        <v>9.46939</v>
      </c>
      <c r="G96" s="24"/>
      <c r="H96" s="36"/>
    </row>
    <row r="97" spans="1:8" ht="12.75" customHeight="1">
      <c r="A97" s="22">
        <v>43405</v>
      </c>
      <c r="B97" s="22"/>
      <c r="C97" s="26">
        <f>ROUND(9.335,5)</f>
        <v>9.335</v>
      </c>
      <c r="D97" s="26">
        <f>F97</f>
        <v>9.52183</v>
      </c>
      <c r="E97" s="26">
        <f>F97</f>
        <v>9.52183</v>
      </c>
      <c r="F97" s="26">
        <f>ROUND(9.52183,5)</f>
        <v>9.52183</v>
      </c>
      <c r="G97" s="24"/>
      <c r="H97" s="36"/>
    </row>
    <row r="98" spans="1:8" ht="12.75" customHeight="1">
      <c r="A98" s="22">
        <v>43503</v>
      </c>
      <c r="B98" s="22"/>
      <c r="C98" s="26">
        <f>ROUND(9.335,5)</f>
        <v>9.335</v>
      </c>
      <c r="D98" s="26">
        <f>F98</f>
        <v>9.58727</v>
      </c>
      <c r="E98" s="26">
        <f>F98</f>
        <v>9.58727</v>
      </c>
      <c r="F98" s="26">
        <f>ROUND(9.58727,5)</f>
        <v>9.58727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ROUND(105.00722,5)</f>
        <v>105.00722</v>
      </c>
      <c r="D100" s="26">
        <f>F100</f>
        <v>105.70447</v>
      </c>
      <c r="E100" s="26">
        <f>F100</f>
        <v>105.70447</v>
      </c>
      <c r="F100" s="26">
        <f>ROUND(105.70447,5)</f>
        <v>105.70447</v>
      </c>
      <c r="G100" s="24"/>
      <c r="H100" s="36"/>
    </row>
    <row r="101" spans="1:8" ht="12.75" customHeight="1">
      <c r="A101" s="22">
        <v>43223</v>
      </c>
      <c r="B101" s="22"/>
      <c r="C101" s="26">
        <f>ROUND(105.00722,5)</f>
        <v>105.00722</v>
      </c>
      <c r="D101" s="26">
        <f>F101</f>
        <v>106.59833</v>
      </c>
      <c r="E101" s="26">
        <f>F101</f>
        <v>106.59833</v>
      </c>
      <c r="F101" s="26">
        <f>ROUND(106.59833,5)</f>
        <v>106.59833</v>
      </c>
      <c r="G101" s="24"/>
      <c r="H101" s="36"/>
    </row>
    <row r="102" spans="1:8" ht="12.75" customHeight="1">
      <c r="A102" s="22">
        <v>43314</v>
      </c>
      <c r="B102" s="22"/>
      <c r="C102" s="26">
        <f>ROUND(105.00722,5)</f>
        <v>105.00722</v>
      </c>
      <c r="D102" s="26">
        <f>F102</f>
        <v>108.61894</v>
      </c>
      <c r="E102" s="26">
        <f>F102</f>
        <v>108.61894</v>
      </c>
      <c r="F102" s="26">
        <f>ROUND(108.61894,5)</f>
        <v>108.61894</v>
      </c>
      <c r="G102" s="24"/>
      <c r="H102" s="36"/>
    </row>
    <row r="103" spans="1:8" ht="12.75" customHeight="1">
      <c r="A103" s="22">
        <v>43405</v>
      </c>
      <c r="B103" s="22"/>
      <c r="C103" s="26">
        <f>ROUND(105.00722,5)</f>
        <v>105.00722</v>
      </c>
      <c r="D103" s="26">
        <f>F103</f>
        <v>110.75445</v>
      </c>
      <c r="E103" s="26">
        <f>F103</f>
        <v>110.75445</v>
      </c>
      <c r="F103" s="26">
        <f>ROUND(110.75445,5)</f>
        <v>110.75445</v>
      </c>
      <c r="G103" s="24"/>
      <c r="H103" s="36"/>
    </row>
    <row r="104" spans="1:8" ht="12.75" customHeight="1">
      <c r="A104" s="22">
        <v>43503</v>
      </c>
      <c r="B104" s="22"/>
      <c r="C104" s="26">
        <f>ROUND(105.00722,5)</f>
        <v>105.00722</v>
      </c>
      <c r="D104" s="26">
        <f>F104</f>
        <v>113.02099</v>
      </c>
      <c r="E104" s="26">
        <f>F104</f>
        <v>113.02099</v>
      </c>
      <c r="F104" s="26">
        <f>ROUND(113.02099,5)</f>
        <v>113.02099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ROUND(9.635,5)</f>
        <v>9.635</v>
      </c>
      <c r="D106" s="26">
        <f>F106</f>
        <v>9.65697</v>
      </c>
      <c r="E106" s="26">
        <f>F106</f>
        <v>9.65697</v>
      </c>
      <c r="F106" s="26">
        <f>ROUND(9.65697,5)</f>
        <v>9.65697</v>
      </c>
      <c r="G106" s="24"/>
      <c r="H106" s="36"/>
    </row>
    <row r="107" spans="1:8" ht="12.75" customHeight="1">
      <c r="A107" s="22">
        <v>43223</v>
      </c>
      <c r="B107" s="22"/>
      <c r="C107" s="26">
        <f>ROUND(9.635,5)</f>
        <v>9.635</v>
      </c>
      <c r="D107" s="26">
        <f>F107</f>
        <v>9.71754</v>
      </c>
      <c r="E107" s="26">
        <f>F107</f>
        <v>9.71754</v>
      </c>
      <c r="F107" s="26">
        <f>ROUND(9.71754,5)</f>
        <v>9.71754</v>
      </c>
      <c r="G107" s="24"/>
      <c r="H107" s="36"/>
    </row>
    <row r="108" spans="1:8" ht="12.75" customHeight="1">
      <c r="A108" s="22">
        <v>43314</v>
      </c>
      <c r="B108" s="22"/>
      <c r="C108" s="26">
        <f>ROUND(9.635,5)</f>
        <v>9.635</v>
      </c>
      <c r="D108" s="26">
        <f>F108</f>
        <v>9.77998</v>
      </c>
      <c r="E108" s="26">
        <f>F108</f>
        <v>9.77998</v>
      </c>
      <c r="F108" s="26">
        <f>ROUND(9.77998,5)</f>
        <v>9.77998</v>
      </c>
      <c r="G108" s="24"/>
      <c r="H108" s="36"/>
    </row>
    <row r="109" spans="1:8" ht="12.75" customHeight="1">
      <c r="A109" s="22">
        <v>43405</v>
      </c>
      <c r="B109" s="22"/>
      <c r="C109" s="26">
        <f>ROUND(9.635,5)</f>
        <v>9.635</v>
      </c>
      <c r="D109" s="26">
        <f>F109</f>
        <v>9.83281</v>
      </c>
      <c r="E109" s="26">
        <f>F109</f>
        <v>9.83281</v>
      </c>
      <c r="F109" s="26">
        <f>ROUND(9.83281,5)</f>
        <v>9.83281</v>
      </c>
      <c r="G109" s="24"/>
      <c r="H109" s="36"/>
    </row>
    <row r="110" spans="1:8" ht="12.75" customHeight="1">
      <c r="A110" s="22">
        <v>43503</v>
      </c>
      <c r="B110" s="22"/>
      <c r="C110" s="26">
        <f>ROUND(9.635,5)</f>
        <v>9.635</v>
      </c>
      <c r="D110" s="26">
        <f>F110</f>
        <v>9.89843</v>
      </c>
      <c r="E110" s="26">
        <f>F110</f>
        <v>9.89843</v>
      </c>
      <c r="F110" s="26">
        <f>ROUND(9.89843,5)</f>
        <v>9.89843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ROUND(2.56,5)</f>
        <v>2.56</v>
      </c>
      <c r="D112" s="26">
        <f>F112</f>
        <v>127.90135</v>
      </c>
      <c r="E112" s="26">
        <f>F112</f>
        <v>127.90135</v>
      </c>
      <c r="F112" s="26">
        <f>ROUND(127.90135,5)</f>
        <v>127.90135</v>
      </c>
      <c r="G112" s="24"/>
      <c r="H112" s="36"/>
    </row>
    <row r="113" spans="1:8" ht="12.75" customHeight="1">
      <c r="A113" s="22">
        <v>43223</v>
      </c>
      <c r="B113" s="22"/>
      <c r="C113" s="26">
        <f>ROUND(2.56,5)</f>
        <v>2.56</v>
      </c>
      <c r="D113" s="26">
        <f>F113</f>
        <v>130.29948</v>
      </c>
      <c r="E113" s="26">
        <f>F113</f>
        <v>130.29948</v>
      </c>
      <c r="F113" s="26">
        <f>ROUND(130.29948,5)</f>
        <v>130.29948</v>
      </c>
      <c r="G113" s="24"/>
      <c r="H113" s="36"/>
    </row>
    <row r="114" spans="1:8" ht="12.75" customHeight="1">
      <c r="A114" s="22">
        <v>43314</v>
      </c>
      <c r="B114" s="22"/>
      <c r="C114" s="26">
        <f>ROUND(2.56,5)</f>
        <v>2.56</v>
      </c>
      <c r="D114" s="26">
        <f>F114</f>
        <v>132.71924</v>
      </c>
      <c r="E114" s="26">
        <f>F114</f>
        <v>132.71924</v>
      </c>
      <c r="F114" s="26">
        <f>ROUND(132.71924,5)</f>
        <v>132.71924</v>
      </c>
      <c r="G114" s="24"/>
      <c r="H114" s="36"/>
    </row>
    <row r="115" spans="1:8" ht="12.75" customHeight="1">
      <c r="A115" s="22">
        <v>43405</v>
      </c>
      <c r="B115" s="22"/>
      <c r="C115" s="26">
        <f>ROUND(2.56,5)</f>
        <v>2.56</v>
      </c>
      <c r="D115" s="26">
        <f>F115</f>
        <v>135.32856</v>
      </c>
      <c r="E115" s="26">
        <f>F115</f>
        <v>135.32856</v>
      </c>
      <c r="F115" s="26">
        <f>ROUND(135.32856,5)</f>
        <v>135.32856</v>
      </c>
      <c r="G115" s="24"/>
      <c r="H115" s="36"/>
    </row>
    <row r="116" spans="1:8" ht="12.75" customHeight="1">
      <c r="A116" s="22">
        <v>43503</v>
      </c>
      <c r="B116" s="22"/>
      <c r="C116" s="26">
        <f>ROUND(2.56,5)</f>
        <v>2.56</v>
      </c>
      <c r="D116" s="26">
        <f>F116</f>
        <v>138.09804</v>
      </c>
      <c r="E116" s="26">
        <f>F116</f>
        <v>138.09804</v>
      </c>
      <c r="F116" s="26">
        <f>ROUND(138.09804,5)</f>
        <v>138.09804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ROUND(9.725,5)</f>
        <v>9.725</v>
      </c>
      <c r="D118" s="26">
        <f>F118</f>
        <v>9.7472</v>
      </c>
      <c r="E118" s="26">
        <f>F118</f>
        <v>9.7472</v>
      </c>
      <c r="F118" s="26">
        <f>ROUND(9.7472,5)</f>
        <v>9.7472</v>
      </c>
      <c r="G118" s="24"/>
      <c r="H118" s="36"/>
    </row>
    <row r="119" spans="1:8" ht="12.75" customHeight="1">
      <c r="A119" s="22">
        <v>43223</v>
      </c>
      <c r="B119" s="22"/>
      <c r="C119" s="26">
        <f>ROUND(9.725,5)</f>
        <v>9.725</v>
      </c>
      <c r="D119" s="26">
        <f>F119</f>
        <v>9.80834</v>
      </c>
      <c r="E119" s="26">
        <f>F119</f>
        <v>9.80834</v>
      </c>
      <c r="F119" s="26">
        <f>ROUND(9.80834,5)</f>
        <v>9.80834</v>
      </c>
      <c r="G119" s="24"/>
      <c r="H119" s="36"/>
    </row>
    <row r="120" spans="1:8" ht="12.75" customHeight="1">
      <c r="A120" s="22">
        <v>43314</v>
      </c>
      <c r="B120" s="22"/>
      <c r="C120" s="26">
        <f>ROUND(9.725,5)</f>
        <v>9.725</v>
      </c>
      <c r="D120" s="26">
        <f>F120</f>
        <v>9.87135</v>
      </c>
      <c r="E120" s="26">
        <f>F120</f>
        <v>9.87135</v>
      </c>
      <c r="F120" s="26">
        <f>ROUND(9.87135,5)</f>
        <v>9.87135</v>
      </c>
      <c r="G120" s="24"/>
      <c r="H120" s="36"/>
    </row>
    <row r="121" spans="1:8" ht="12.75" customHeight="1">
      <c r="A121" s="22">
        <v>43405</v>
      </c>
      <c r="B121" s="22"/>
      <c r="C121" s="26">
        <f>ROUND(9.725,5)</f>
        <v>9.725</v>
      </c>
      <c r="D121" s="26">
        <f>F121</f>
        <v>9.92492</v>
      </c>
      <c r="E121" s="26">
        <f>F121</f>
        <v>9.92492</v>
      </c>
      <c r="F121" s="26">
        <f>ROUND(9.92492,5)</f>
        <v>9.92492</v>
      </c>
      <c r="G121" s="24"/>
      <c r="H121" s="36"/>
    </row>
    <row r="122" spans="1:8" ht="12.75" customHeight="1">
      <c r="A122" s="22">
        <v>43503</v>
      </c>
      <c r="B122" s="22"/>
      <c r="C122" s="26">
        <f>ROUND(9.725,5)</f>
        <v>9.725</v>
      </c>
      <c r="D122" s="26">
        <f>F122</f>
        <v>9.99113</v>
      </c>
      <c r="E122" s="26">
        <f>F122</f>
        <v>9.99113</v>
      </c>
      <c r="F122" s="26">
        <f>ROUND(9.99113,5)</f>
        <v>9.99113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ROUND(9.77,5)</f>
        <v>9.77</v>
      </c>
      <c r="D124" s="26">
        <f>F124</f>
        <v>9.79169</v>
      </c>
      <c r="E124" s="26">
        <f>F124</f>
        <v>9.79169</v>
      </c>
      <c r="F124" s="26">
        <f>ROUND(9.79169,5)</f>
        <v>9.79169</v>
      </c>
      <c r="G124" s="24"/>
      <c r="H124" s="36"/>
    </row>
    <row r="125" spans="1:8" ht="12.75" customHeight="1">
      <c r="A125" s="22">
        <v>43223</v>
      </c>
      <c r="B125" s="22"/>
      <c r="C125" s="26">
        <f>ROUND(9.77,5)</f>
        <v>9.77</v>
      </c>
      <c r="D125" s="26">
        <f>F125</f>
        <v>9.85138</v>
      </c>
      <c r="E125" s="26">
        <f>F125</f>
        <v>9.85138</v>
      </c>
      <c r="F125" s="26">
        <f>ROUND(9.85138,5)</f>
        <v>9.85138</v>
      </c>
      <c r="G125" s="24"/>
      <c r="H125" s="36"/>
    </row>
    <row r="126" spans="1:8" ht="12.75" customHeight="1">
      <c r="A126" s="22">
        <v>43314</v>
      </c>
      <c r="B126" s="22"/>
      <c r="C126" s="26">
        <f>ROUND(9.77,5)</f>
        <v>9.77</v>
      </c>
      <c r="D126" s="26">
        <f>F126</f>
        <v>9.91281</v>
      </c>
      <c r="E126" s="26">
        <f>F126</f>
        <v>9.91281</v>
      </c>
      <c r="F126" s="26">
        <f>ROUND(9.91281,5)</f>
        <v>9.91281</v>
      </c>
      <c r="G126" s="24"/>
      <c r="H126" s="36"/>
    </row>
    <row r="127" spans="1:8" ht="12.75" customHeight="1">
      <c r="A127" s="22">
        <v>43405</v>
      </c>
      <c r="B127" s="22"/>
      <c r="C127" s="26">
        <f>ROUND(9.77,5)</f>
        <v>9.77</v>
      </c>
      <c r="D127" s="26">
        <f>F127</f>
        <v>9.96508</v>
      </c>
      <c r="E127" s="26">
        <f>F127</f>
        <v>9.96508</v>
      </c>
      <c r="F127" s="26">
        <f>ROUND(9.96508,5)</f>
        <v>9.96508</v>
      </c>
      <c r="G127" s="24"/>
      <c r="H127" s="36"/>
    </row>
    <row r="128" spans="1:8" ht="12.75" customHeight="1">
      <c r="A128" s="22">
        <v>43503</v>
      </c>
      <c r="B128" s="22"/>
      <c r="C128" s="26">
        <f>ROUND(9.77,5)</f>
        <v>9.77</v>
      </c>
      <c r="D128" s="26">
        <f>F128</f>
        <v>10.02946</v>
      </c>
      <c r="E128" s="26">
        <f>F128</f>
        <v>10.02946</v>
      </c>
      <c r="F128" s="26">
        <f>ROUND(10.02946,5)</f>
        <v>10.02946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ROUND(124.62924,5)</f>
        <v>124.62924</v>
      </c>
      <c r="D130" s="26">
        <f>F130</f>
        <v>125.45678</v>
      </c>
      <c r="E130" s="26">
        <f>F130</f>
        <v>125.45678</v>
      </c>
      <c r="F130" s="26">
        <f>ROUND(125.45678,5)</f>
        <v>125.45678</v>
      </c>
      <c r="G130" s="24"/>
      <c r="H130" s="36"/>
    </row>
    <row r="131" spans="1:8" ht="12.75" customHeight="1">
      <c r="A131" s="22">
        <v>43223</v>
      </c>
      <c r="B131" s="22"/>
      <c r="C131" s="26">
        <f>ROUND(124.62924,5)</f>
        <v>124.62924</v>
      </c>
      <c r="D131" s="26">
        <f>F131</f>
        <v>126.2093</v>
      </c>
      <c r="E131" s="26">
        <f>F131</f>
        <v>126.2093</v>
      </c>
      <c r="F131" s="26">
        <f>ROUND(126.2093,5)</f>
        <v>126.2093</v>
      </c>
      <c r="G131" s="24"/>
      <c r="H131" s="36"/>
    </row>
    <row r="132" spans="1:8" ht="12.75" customHeight="1">
      <c r="A132" s="22">
        <v>43314</v>
      </c>
      <c r="B132" s="22"/>
      <c r="C132" s="26">
        <f>ROUND(124.62924,5)</f>
        <v>124.62924</v>
      </c>
      <c r="D132" s="26">
        <f>F132</f>
        <v>128.60155</v>
      </c>
      <c r="E132" s="26">
        <f>F132</f>
        <v>128.60155</v>
      </c>
      <c r="F132" s="26">
        <f>ROUND(128.60155,5)</f>
        <v>128.60155</v>
      </c>
      <c r="G132" s="24"/>
      <c r="H132" s="36"/>
    </row>
    <row r="133" spans="1:8" ht="12.75" customHeight="1">
      <c r="A133" s="22">
        <v>43405</v>
      </c>
      <c r="B133" s="22"/>
      <c r="C133" s="26">
        <f>ROUND(124.62924,5)</f>
        <v>124.62924</v>
      </c>
      <c r="D133" s="26">
        <f>F133</f>
        <v>131.12999</v>
      </c>
      <c r="E133" s="26">
        <f>F133</f>
        <v>131.12999</v>
      </c>
      <c r="F133" s="26">
        <f>ROUND(131.12999,5)</f>
        <v>131.12999</v>
      </c>
      <c r="G133" s="24"/>
      <c r="H133" s="36"/>
    </row>
    <row r="134" spans="1:8" ht="12.75" customHeight="1">
      <c r="A134" s="22">
        <v>43503</v>
      </c>
      <c r="B134" s="22"/>
      <c r="C134" s="26">
        <f>ROUND(124.62924,5)</f>
        <v>124.62924</v>
      </c>
      <c r="D134" s="26">
        <f>F134</f>
        <v>133.81335</v>
      </c>
      <c r="E134" s="26">
        <f>F134</f>
        <v>133.81335</v>
      </c>
      <c r="F134" s="26">
        <f>ROUND(133.81335,5)</f>
        <v>133.81335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ROUND(2.59,5)</f>
        <v>2.59</v>
      </c>
      <c r="D136" s="26">
        <f>F136</f>
        <v>131.87872</v>
      </c>
      <c r="E136" s="26">
        <f>F136</f>
        <v>131.87872</v>
      </c>
      <c r="F136" s="26">
        <f>ROUND(131.87872,5)</f>
        <v>131.87872</v>
      </c>
      <c r="G136" s="24"/>
      <c r="H136" s="36"/>
    </row>
    <row r="137" spans="1:8" ht="12.75" customHeight="1">
      <c r="A137" s="22">
        <v>43223</v>
      </c>
      <c r="B137" s="22"/>
      <c r="C137" s="26">
        <f>ROUND(2.59,5)</f>
        <v>2.59</v>
      </c>
      <c r="D137" s="26">
        <f>F137</f>
        <v>134.35151</v>
      </c>
      <c r="E137" s="26">
        <f>F137</f>
        <v>134.35151</v>
      </c>
      <c r="F137" s="26">
        <f>ROUND(134.35151,5)</f>
        <v>134.35151</v>
      </c>
      <c r="G137" s="24"/>
      <c r="H137" s="36"/>
    </row>
    <row r="138" spans="1:8" ht="12.75" customHeight="1">
      <c r="A138" s="22">
        <v>43314</v>
      </c>
      <c r="B138" s="22"/>
      <c r="C138" s="26">
        <f>ROUND(2.59,5)</f>
        <v>2.59</v>
      </c>
      <c r="D138" s="26">
        <f>F138</f>
        <v>135.16498</v>
      </c>
      <c r="E138" s="26">
        <f>F138</f>
        <v>135.16498</v>
      </c>
      <c r="F138" s="26">
        <f>ROUND(135.16498,5)</f>
        <v>135.16498</v>
      </c>
      <c r="G138" s="24"/>
      <c r="H138" s="36"/>
    </row>
    <row r="139" spans="1:8" ht="12.75" customHeight="1">
      <c r="A139" s="22">
        <v>43405</v>
      </c>
      <c r="B139" s="22"/>
      <c r="C139" s="26">
        <f>ROUND(2.59,5)</f>
        <v>2.59</v>
      </c>
      <c r="D139" s="26">
        <f>F139</f>
        <v>137.82259</v>
      </c>
      <c r="E139" s="26">
        <f>F139</f>
        <v>137.82259</v>
      </c>
      <c r="F139" s="26">
        <f>ROUND(137.82259,5)</f>
        <v>137.82259</v>
      </c>
      <c r="G139" s="24"/>
      <c r="H139" s="36"/>
    </row>
    <row r="140" spans="1:8" ht="12.75" customHeight="1">
      <c r="A140" s="22">
        <v>43503</v>
      </c>
      <c r="B140" s="22"/>
      <c r="C140" s="26">
        <f>ROUND(2.59,5)</f>
        <v>2.59</v>
      </c>
      <c r="D140" s="26">
        <f>F140</f>
        <v>140.64253</v>
      </c>
      <c r="E140" s="26">
        <f>F140</f>
        <v>140.64253</v>
      </c>
      <c r="F140" s="26">
        <f>ROUND(140.64253,5)</f>
        <v>140.64253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ROUND(3.26,5)</f>
        <v>3.26</v>
      </c>
      <c r="D142" s="26">
        <f>F142</f>
        <v>129.04139</v>
      </c>
      <c r="E142" s="26">
        <f>F142</f>
        <v>129.04139</v>
      </c>
      <c r="F142" s="26">
        <f>ROUND(129.04139,5)</f>
        <v>129.04139</v>
      </c>
      <c r="G142" s="24"/>
      <c r="H142" s="36"/>
    </row>
    <row r="143" spans="1:8" ht="12.75" customHeight="1">
      <c r="A143" s="22">
        <v>43223</v>
      </c>
      <c r="B143" s="22"/>
      <c r="C143" s="26">
        <f>ROUND(3.26,5)</f>
        <v>3.26</v>
      </c>
      <c r="D143" s="26">
        <f>F143</f>
        <v>129.70121</v>
      </c>
      <c r="E143" s="26">
        <f>F143</f>
        <v>129.70121</v>
      </c>
      <c r="F143" s="26">
        <f>ROUND(129.70121,5)</f>
        <v>129.70121</v>
      </c>
      <c r="G143" s="24"/>
      <c r="H143" s="36"/>
    </row>
    <row r="144" spans="1:8" ht="12.75" customHeight="1">
      <c r="A144" s="22">
        <v>43314</v>
      </c>
      <c r="B144" s="22"/>
      <c r="C144" s="26">
        <f>ROUND(3.26,5)</f>
        <v>3.26</v>
      </c>
      <c r="D144" s="26">
        <f>F144</f>
        <v>132.15965</v>
      </c>
      <c r="E144" s="26">
        <f>F144</f>
        <v>132.15965</v>
      </c>
      <c r="F144" s="26">
        <f>ROUND(132.15965,5)</f>
        <v>132.15965</v>
      </c>
      <c r="G144" s="24"/>
      <c r="H144" s="36"/>
    </row>
    <row r="145" spans="1:8" ht="12.75" customHeight="1">
      <c r="A145" s="22">
        <v>43405</v>
      </c>
      <c r="B145" s="22"/>
      <c r="C145" s="26">
        <f>ROUND(3.26,5)</f>
        <v>3.26</v>
      </c>
      <c r="D145" s="26">
        <f>F145</f>
        <v>134.75811</v>
      </c>
      <c r="E145" s="26">
        <f>F145</f>
        <v>134.75811</v>
      </c>
      <c r="F145" s="26">
        <f>ROUND(134.75811,5)</f>
        <v>134.75811</v>
      </c>
      <c r="G145" s="24"/>
      <c r="H145" s="36"/>
    </row>
    <row r="146" spans="1:8" ht="12.75" customHeight="1">
      <c r="A146" s="22">
        <v>43503</v>
      </c>
      <c r="B146" s="22"/>
      <c r="C146" s="26">
        <f>ROUND(3.26,5)</f>
        <v>3.26</v>
      </c>
      <c r="D146" s="26">
        <f>F146</f>
        <v>137.51555</v>
      </c>
      <c r="E146" s="26">
        <f>F146</f>
        <v>137.51555</v>
      </c>
      <c r="F146" s="26">
        <f>ROUND(137.51555,5)</f>
        <v>137.51555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ROUND(10.715,5)</f>
        <v>10.715</v>
      </c>
      <c r="D148" s="26">
        <f>F148</f>
        <v>10.75262</v>
      </c>
      <c r="E148" s="26">
        <f>F148</f>
        <v>10.75262</v>
      </c>
      <c r="F148" s="26">
        <f>ROUND(10.75262,5)</f>
        <v>10.75262</v>
      </c>
      <c r="G148" s="24"/>
      <c r="H148" s="36"/>
    </row>
    <row r="149" spans="1:8" ht="12.75" customHeight="1">
      <c r="A149" s="22">
        <v>43223</v>
      </c>
      <c r="B149" s="22"/>
      <c r="C149" s="26">
        <f>ROUND(10.715,5)</f>
        <v>10.715</v>
      </c>
      <c r="D149" s="26">
        <f>F149</f>
        <v>10.85053</v>
      </c>
      <c r="E149" s="26">
        <f>F149</f>
        <v>10.85053</v>
      </c>
      <c r="F149" s="26">
        <f>ROUND(10.85053,5)</f>
        <v>10.85053</v>
      </c>
      <c r="G149" s="24"/>
      <c r="H149" s="36"/>
    </row>
    <row r="150" spans="1:8" ht="12.75" customHeight="1">
      <c r="A150" s="22">
        <v>43314</v>
      </c>
      <c r="B150" s="22"/>
      <c r="C150" s="26">
        <f>ROUND(10.715,5)</f>
        <v>10.715</v>
      </c>
      <c r="D150" s="26">
        <f>F150</f>
        <v>10.94914</v>
      </c>
      <c r="E150" s="26">
        <f>F150</f>
        <v>10.94914</v>
      </c>
      <c r="F150" s="26">
        <f>ROUND(10.94914,5)</f>
        <v>10.94914</v>
      </c>
      <c r="G150" s="24"/>
      <c r="H150" s="36"/>
    </row>
    <row r="151" spans="1:8" ht="12.75" customHeight="1">
      <c r="A151" s="22">
        <v>43405</v>
      </c>
      <c r="B151" s="22"/>
      <c r="C151" s="26">
        <f>ROUND(10.715,5)</f>
        <v>10.715</v>
      </c>
      <c r="D151" s="26">
        <f>F151</f>
        <v>11.04771</v>
      </c>
      <c r="E151" s="26">
        <f>F151</f>
        <v>11.04771</v>
      </c>
      <c r="F151" s="26">
        <f>ROUND(11.04771,5)</f>
        <v>11.04771</v>
      </c>
      <c r="G151" s="24"/>
      <c r="H151" s="36"/>
    </row>
    <row r="152" spans="1:8" ht="12.75" customHeight="1">
      <c r="A152" s="22">
        <v>43503</v>
      </c>
      <c r="B152" s="22"/>
      <c r="C152" s="26">
        <f>ROUND(10.715,5)</f>
        <v>10.715</v>
      </c>
      <c r="D152" s="26">
        <f>F152</f>
        <v>11.16728</v>
      </c>
      <c r="E152" s="26">
        <f>F152</f>
        <v>11.16728</v>
      </c>
      <c r="F152" s="26">
        <f>ROUND(11.16728,5)</f>
        <v>11.16728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ROUND(11,5)</f>
        <v>11</v>
      </c>
      <c r="D154" s="26">
        <f>F154</f>
        <v>11.03679</v>
      </c>
      <c r="E154" s="26">
        <f>F154</f>
        <v>11.03679</v>
      </c>
      <c r="F154" s="26">
        <f>ROUND(11.03679,5)</f>
        <v>11.03679</v>
      </c>
      <c r="G154" s="24"/>
      <c r="H154" s="36"/>
    </row>
    <row r="155" spans="1:8" ht="12.75" customHeight="1">
      <c r="A155" s="22">
        <v>43223</v>
      </c>
      <c r="B155" s="22"/>
      <c r="C155" s="26">
        <f>ROUND(11,5)</f>
        <v>11</v>
      </c>
      <c r="D155" s="26">
        <f>F155</f>
        <v>11.13771</v>
      </c>
      <c r="E155" s="26">
        <f>F155</f>
        <v>11.13771</v>
      </c>
      <c r="F155" s="26">
        <f>ROUND(11.13771,5)</f>
        <v>11.13771</v>
      </c>
      <c r="G155" s="24"/>
      <c r="H155" s="36"/>
    </row>
    <row r="156" spans="1:8" ht="12.75" customHeight="1">
      <c r="A156" s="22">
        <v>43314</v>
      </c>
      <c r="B156" s="22"/>
      <c r="C156" s="26">
        <f>ROUND(11,5)</f>
        <v>11</v>
      </c>
      <c r="D156" s="26">
        <f>F156</f>
        <v>11.23761</v>
      </c>
      <c r="E156" s="26">
        <f>F156</f>
        <v>11.23761</v>
      </c>
      <c r="F156" s="26">
        <f>ROUND(11.23761,5)</f>
        <v>11.23761</v>
      </c>
      <c r="G156" s="24"/>
      <c r="H156" s="36"/>
    </row>
    <row r="157" spans="1:8" ht="12.75" customHeight="1">
      <c r="A157" s="22">
        <v>43405</v>
      </c>
      <c r="B157" s="22"/>
      <c r="C157" s="26">
        <f>ROUND(11,5)</f>
        <v>11</v>
      </c>
      <c r="D157" s="26">
        <f>F157</f>
        <v>11.3369</v>
      </c>
      <c r="E157" s="26">
        <f>F157</f>
        <v>11.3369</v>
      </c>
      <c r="F157" s="26">
        <f>ROUND(11.3369,5)</f>
        <v>11.3369</v>
      </c>
      <c r="G157" s="24"/>
      <c r="H157" s="36"/>
    </row>
    <row r="158" spans="1:8" ht="12.75" customHeight="1">
      <c r="A158" s="22">
        <v>43503</v>
      </c>
      <c r="B158" s="22"/>
      <c r="C158" s="26">
        <f>ROUND(11,5)</f>
        <v>11</v>
      </c>
      <c r="D158" s="26">
        <f>F158</f>
        <v>11.45271</v>
      </c>
      <c r="E158" s="26">
        <f>F158</f>
        <v>11.45271</v>
      </c>
      <c r="F158" s="26">
        <f>ROUND(11.45271,5)</f>
        <v>11.45271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ROUND(7.895,5)</f>
        <v>7.895</v>
      </c>
      <c r="D160" s="26">
        <f>F160</f>
        <v>7.90664</v>
      </c>
      <c r="E160" s="26">
        <f>F160</f>
        <v>7.90664</v>
      </c>
      <c r="F160" s="26">
        <f>ROUND(7.90664,5)</f>
        <v>7.90664</v>
      </c>
      <c r="G160" s="24"/>
      <c r="H160" s="36"/>
    </row>
    <row r="161" spans="1:8" ht="12.75" customHeight="1">
      <c r="A161" s="22">
        <v>43223</v>
      </c>
      <c r="B161" s="22"/>
      <c r="C161" s="26">
        <f>ROUND(7.895,5)</f>
        <v>7.895</v>
      </c>
      <c r="D161" s="26">
        <f>F161</f>
        <v>7.92581</v>
      </c>
      <c r="E161" s="26">
        <f>F161</f>
        <v>7.92581</v>
      </c>
      <c r="F161" s="26">
        <f>ROUND(7.92581,5)</f>
        <v>7.92581</v>
      </c>
      <c r="G161" s="24"/>
      <c r="H161" s="36"/>
    </row>
    <row r="162" spans="1:8" ht="12.75" customHeight="1">
      <c r="A162" s="22">
        <v>43314</v>
      </c>
      <c r="B162" s="22"/>
      <c r="C162" s="26">
        <f>ROUND(7.895,5)</f>
        <v>7.895</v>
      </c>
      <c r="D162" s="26">
        <f>F162</f>
        <v>7.94226</v>
      </c>
      <c r="E162" s="26">
        <f>F162</f>
        <v>7.94226</v>
      </c>
      <c r="F162" s="26">
        <f>ROUND(7.94226,5)</f>
        <v>7.94226</v>
      </c>
      <c r="G162" s="24"/>
      <c r="H162" s="36"/>
    </row>
    <row r="163" spans="1:8" ht="12.75" customHeight="1">
      <c r="A163" s="22">
        <v>43405</v>
      </c>
      <c r="B163" s="22"/>
      <c r="C163" s="26">
        <f>ROUND(7.895,5)</f>
        <v>7.895</v>
      </c>
      <c r="D163" s="26">
        <f>F163</f>
        <v>7.95199</v>
      </c>
      <c r="E163" s="26">
        <f>F163</f>
        <v>7.95199</v>
      </c>
      <c r="F163" s="26">
        <f>ROUND(7.95199,5)</f>
        <v>7.95199</v>
      </c>
      <c r="G163" s="24"/>
      <c r="H163" s="36"/>
    </row>
    <row r="164" spans="1:8" ht="12.75" customHeight="1">
      <c r="A164" s="22">
        <v>43503</v>
      </c>
      <c r="B164" s="22"/>
      <c r="C164" s="26">
        <f>ROUND(7.895,5)</f>
        <v>7.895</v>
      </c>
      <c r="D164" s="26">
        <f>F164</f>
        <v>7.97882</v>
      </c>
      <c r="E164" s="26">
        <f>F164</f>
        <v>7.97882</v>
      </c>
      <c r="F164" s="26">
        <f>ROUND(7.97882,5)</f>
        <v>7.97882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ROUND(9.535,5)</f>
        <v>9.535</v>
      </c>
      <c r="D166" s="26">
        <f>F166</f>
        <v>9.55833</v>
      </c>
      <c r="E166" s="26">
        <f>F166</f>
        <v>9.55833</v>
      </c>
      <c r="F166" s="26">
        <f>ROUND(9.55833,5)</f>
        <v>9.55833</v>
      </c>
      <c r="G166" s="24"/>
      <c r="H166" s="36"/>
    </row>
    <row r="167" spans="1:8" ht="12.75" customHeight="1">
      <c r="A167" s="22">
        <v>43223</v>
      </c>
      <c r="B167" s="22"/>
      <c r="C167" s="26">
        <f>ROUND(9.535,5)</f>
        <v>9.535</v>
      </c>
      <c r="D167" s="26">
        <f>F167</f>
        <v>9.61553</v>
      </c>
      <c r="E167" s="26">
        <f>F167</f>
        <v>9.61553</v>
      </c>
      <c r="F167" s="26">
        <f>ROUND(9.61553,5)</f>
        <v>9.61553</v>
      </c>
      <c r="G167" s="24"/>
      <c r="H167" s="36"/>
    </row>
    <row r="168" spans="1:8" ht="12.75" customHeight="1">
      <c r="A168" s="22">
        <v>43314</v>
      </c>
      <c r="B168" s="22"/>
      <c r="C168" s="26">
        <f>ROUND(9.535,5)</f>
        <v>9.535</v>
      </c>
      <c r="D168" s="26">
        <f>F168</f>
        <v>9.67309</v>
      </c>
      <c r="E168" s="26">
        <f>F168</f>
        <v>9.67309</v>
      </c>
      <c r="F168" s="26">
        <f>ROUND(9.67309,5)</f>
        <v>9.67309</v>
      </c>
      <c r="G168" s="24"/>
      <c r="H168" s="36"/>
    </row>
    <row r="169" spans="1:8" ht="12.75" customHeight="1">
      <c r="A169" s="22">
        <v>43405</v>
      </c>
      <c r="B169" s="22"/>
      <c r="C169" s="26">
        <f>ROUND(9.535,5)</f>
        <v>9.535</v>
      </c>
      <c r="D169" s="26">
        <f>F169</f>
        <v>9.72911</v>
      </c>
      <c r="E169" s="26">
        <f>F169</f>
        <v>9.72911</v>
      </c>
      <c r="F169" s="26">
        <f>ROUND(9.72911,5)</f>
        <v>9.72911</v>
      </c>
      <c r="G169" s="24"/>
      <c r="H169" s="36"/>
    </row>
    <row r="170" spans="1:8" ht="12.75" customHeight="1">
      <c r="A170" s="22">
        <v>43503</v>
      </c>
      <c r="B170" s="22"/>
      <c r="C170" s="26">
        <f>ROUND(9.535,5)</f>
        <v>9.535</v>
      </c>
      <c r="D170" s="26">
        <f>F170</f>
        <v>9.79923</v>
      </c>
      <c r="E170" s="26">
        <f>F170</f>
        <v>9.79923</v>
      </c>
      <c r="F170" s="26">
        <f>ROUND(9.79923,5)</f>
        <v>9.79923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ROUND(8.59,5)</f>
        <v>8.59</v>
      </c>
      <c r="D172" s="26">
        <f>F172</f>
        <v>8.60767</v>
      </c>
      <c r="E172" s="26">
        <f>F172</f>
        <v>8.60767</v>
      </c>
      <c r="F172" s="26">
        <f>ROUND(8.60767,5)</f>
        <v>8.60767</v>
      </c>
      <c r="G172" s="24"/>
      <c r="H172" s="36"/>
    </row>
    <row r="173" spans="1:8" ht="12.75" customHeight="1">
      <c r="A173" s="22">
        <v>43223</v>
      </c>
      <c r="B173" s="22"/>
      <c r="C173" s="26">
        <f>ROUND(8.59,5)</f>
        <v>8.59</v>
      </c>
      <c r="D173" s="26">
        <f>F173</f>
        <v>8.6534</v>
      </c>
      <c r="E173" s="26">
        <f>F173</f>
        <v>8.6534</v>
      </c>
      <c r="F173" s="26">
        <f>ROUND(8.6534,5)</f>
        <v>8.6534</v>
      </c>
      <c r="G173" s="24"/>
      <c r="H173" s="36"/>
    </row>
    <row r="174" spans="1:8" ht="12.75" customHeight="1">
      <c r="A174" s="22">
        <v>43314</v>
      </c>
      <c r="B174" s="22"/>
      <c r="C174" s="26">
        <f>ROUND(8.59,5)</f>
        <v>8.59</v>
      </c>
      <c r="D174" s="26">
        <f>F174</f>
        <v>8.69915</v>
      </c>
      <c r="E174" s="26">
        <f>F174</f>
        <v>8.69915</v>
      </c>
      <c r="F174" s="26">
        <f>ROUND(8.69915,5)</f>
        <v>8.69915</v>
      </c>
      <c r="G174" s="24"/>
      <c r="H174" s="36"/>
    </row>
    <row r="175" spans="1:8" ht="12.75" customHeight="1">
      <c r="A175" s="22">
        <v>43405</v>
      </c>
      <c r="B175" s="22"/>
      <c r="C175" s="26">
        <f>ROUND(8.59,5)</f>
        <v>8.59</v>
      </c>
      <c r="D175" s="26">
        <f>F175</f>
        <v>8.73687</v>
      </c>
      <c r="E175" s="26">
        <f>F175</f>
        <v>8.73687</v>
      </c>
      <c r="F175" s="26">
        <f>ROUND(8.73687,5)</f>
        <v>8.73687</v>
      </c>
      <c r="G175" s="24"/>
      <c r="H175" s="36"/>
    </row>
    <row r="176" spans="1:8" ht="12.75" customHeight="1">
      <c r="A176" s="22">
        <v>43503</v>
      </c>
      <c r="B176" s="22"/>
      <c r="C176" s="26">
        <f>ROUND(8.59,5)</f>
        <v>8.59</v>
      </c>
      <c r="D176" s="26">
        <f>F176</f>
        <v>8.7894</v>
      </c>
      <c r="E176" s="26">
        <f>F176</f>
        <v>8.7894</v>
      </c>
      <c r="F176" s="26">
        <f>ROUND(8.7894,5)</f>
        <v>8.7894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ROUND(2.38,5)</f>
        <v>2.38</v>
      </c>
      <c r="D178" s="26">
        <f>F178</f>
        <v>298.43899</v>
      </c>
      <c r="E178" s="26">
        <f>F178</f>
        <v>298.43899</v>
      </c>
      <c r="F178" s="26">
        <f>ROUND(298.43899,5)</f>
        <v>298.43899</v>
      </c>
      <c r="G178" s="24"/>
      <c r="H178" s="36"/>
    </row>
    <row r="179" spans="1:8" ht="12.75" customHeight="1">
      <c r="A179" s="22">
        <v>43223</v>
      </c>
      <c r="B179" s="22"/>
      <c r="C179" s="26">
        <f>ROUND(2.38,5)</f>
        <v>2.38</v>
      </c>
      <c r="D179" s="26">
        <f>F179</f>
        <v>304.0345</v>
      </c>
      <c r="E179" s="26">
        <f>F179</f>
        <v>304.0345</v>
      </c>
      <c r="F179" s="26">
        <f>ROUND(304.0345,5)</f>
        <v>304.0345</v>
      </c>
      <c r="G179" s="24"/>
      <c r="H179" s="36"/>
    </row>
    <row r="180" spans="1:8" ht="12.75" customHeight="1">
      <c r="A180" s="22">
        <v>43314</v>
      </c>
      <c r="B180" s="22"/>
      <c r="C180" s="26">
        <f>ROUND(2.38,5)</f>
        <v>2.38</v>
      </c>
      <c r="D180" s="26">
        <f>F180</f>
        <v>302.59839</v>
      </c>
      <c r="E180" s="26">
        <f>F180</f>
        <v>302.59839</v>
      </c>
      <c r="F180" s="26">
        <f>ROUND(302.59839,5)</f>
        <v>302.59839</v>
      </c>
      <c r="G180" s="24"/>
      <c r="H180" s="36"/>
    </row>
    <row r="181" spans="1:8" ht="12.75" customHeight="1">
      <c r="A181" s="22">
        <v>43405</v>
      </c>
      <c r="B181" s="22"/>
      <c r="C181" s="26">
        <f>ROUND(2.38,5)</f>
        <v>2.38</v>
      </c>
      <c r="D181" s="26">
        <f>F181</f>
        <v>308.54844</v>
      </c>
      <c r="E181" s="26">
        <f>F181</f>
        <v>308.54844</v>
      </c>
      <c r="F181" s="26">
        <f>ROUND(308.54844,5)</f>
        <v>308.54844</v>
      </c>
      <c r="G181" s="24"/>
      <c r="H181" s="36"/>
    </row>
    <row r="182" spans="1:8" ht="12.75" customHeight="1">
      <c r="A182" s="22">
        <v>43503</v>
      </c>
      <c r="B182" s="22"/>
      <c r="C182" s="26">
        <f>ROUND(2.38,5)</f>
        <v>2.38</v>
      </c>
      <c r="D182" s="26">
        <f>F182</f>
        <v>314.86057</v>
      </c>
      <c r="E182" s="26">
        <f>F182</f>
        <v>314.86057</v>
      </c>
      <c r="F182" s="26">
        <f>ROUND(314.86057,5)</f>
        <v>314.86057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ROUND(2.56,5)</f>
        <v>2.56</v>
      </c>
      <c r="D184" s="26">
        <f>F184</f>
        <v>240.4113</v>
      </c>
      <c r="E184" s="26">
        <f>F184</f>
        <v>240.4113</v>
      </c>
      <c r="F184" s="26">
        <f>ROUND(240.4113,5)</f>
        <v>240.4113</v>
      </c>
      <c r="G184" s="24"/>
      <c r="H184" s="36"/>
    </row>
    <row r="185" spans="1:8" ht="12.75" customHeight="1">
      <c r="A185" s="22">
        <v>43223</v>
      </c>
      <c r="B185" s="22"/>
      <c r="C185" s="26">
        <f>ROUND(2.56,5)</f>
        <v>2.56</v>
      </c>
      <c r="D185" s="26">
        <f>F185</f>
        <v>244.91874</v>
      </c>
      <c r="E185" s="26">
        <f>F185</f>
        <v>244.91874</v>
      </c>
      <c r="F185" s="26">
        <f>ROUND(244.91874,5)</f>
        <v>244.91874</v>
      </c>
      <c r="G185" s="24"/>
      <c r="H185" s="36"/>
    </row>
    <row r="186" spans="1:8" ht="12.75" customHeight="1">
      <c r="A186" s="22">
        <v>43314</v>
      </c>
      <c r="B186" s="22"/>
      <c r="C186" s="26">
        <f>ROUND(2.56,5)</f>
        <v>2.56</v>
      </c>
      <c r="D186" s="26">
        <f>F186</f>
        <v>245.73748</v>
      </c>
      <c r="E186" s="26">
        <f>F186</f>
        <v>245.73748</v>
      </c>
      <c r="F186" s="26">
        <f>ROUND(245.73748,5)</f>
        <v>245.73748</v>
      </c>
      <c r="G186" s="24"/>
      <c r="H186" s="36"/>
    </row>
    <row r="187" spans="1:8" ht="12.75" customHeight="1">
      <c r="A187" s="22">
        <v>43405</v>
      </c>
      <c r="B187" s="22"/>
      <c r="C187" s="26">
        <f>ROUND(2.56,5)</f>
        <v>2.56</v>
      </c>
      <c r="D187" s="26">
        <f>F187</f>
        <v>250.5692</v>
      </c>
      <c r="E187" s="26">
        <f>F187</f>
        <v>250.5692</v>
      </c>
      <c r="F187" s="26">
        <f>ROUND(250.5692,5)</f>
        <v>250.5692</v>
      </c>
      <c r="G187" s="24"/>
      <c r="H187" s="36"/>
    </row>
    <row r="188" spans="1:8" ht="12.75" customHeight="1">
      <c r="A188" s="22">
        <v>43503</v>
      </c>
      <c r="B188" s="22"/>
      <c r="C188" s="26">
        <f>ROUND(2.56,5)</f>
        <v>2.56</v>
      </c>
      <c r="D188" s="26">
        <f>F188</f>
        <v>255.69593</v>
      </c>
      <c r="E188" s="26">
        <f>F188</f>
        <v>255.69593</v>
      </c>
      <c r="F188" s="26">
        <f>ROUND(255.69593,5)</f>
        <v>255.69593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ROUND(7.065,5)</f>
        <v>7.065</v>
      </c>
      <c r="D192" s="26">
        <f>F192</f>
        <v>7.02844</v>
      </c>
      <c r="E192" s="26">
        <f>F192</f>
        <v>7.02844</v>
      </c>
      <c r="F192" s="26">
        <f>ROUND(7.02844,5)</f>
        <v>7.02844</v>
      </c>
      <c r="G192" s="24"/>
      <c r="H192" s="36"/>
    </row>
    <row r="193" spans="1:8" ht="12.75" customHeight="1">
      <c r="A193" s="22">
        <v>43223</v>
      </c>
      <c r="B193" s="22"/>
      <c r="C193" s="26">
        <f>ROUND(7.065,5)</f>
        <v>7.065</v>
      </c>
      <c r="D193" s="26">
        <f>F193</f>
        <v>6.81424</v>
      </c>
      <c r="E193" s="26">
        <f>F193</f>
        <v>6.81424</v>
      </c>
      <c r="F193" s="26">
        <f>ROUND(6.81424,5)</f>
        <v>6.81424</v>
      </c>
      <c r="G193" s="24"/>
      <c r="H193" s="36"/>
    </row>
    <row r="194" spans="1:8" ht="12.75" customHeight="1">
      <c r="A194" s="22">
        <v>43314</v>
      </c>
      <c r="B194" s="22"/>
      <c r="C194" s="26">
        <f>ROUND(7.065,5)</f>
        <v>7.065</v>
      </c>
      <c r="D194" s="26">
        <f>F194</f>
        <v>6.2307</v>
      </c>
      <c r="E194" s="26">
        <f>F194</f>
        <v>6.2307</v>
      </c>
      <c r="F194" s="26">
        <f>ROUND(6.2307,5)</f>
        <v>6.2307</v>
      </c>
      <c r="G194" s="24"/>
      <c r="H194" s="36"/>
    </row>
    <row r="195" spans="1:8" ht="12.75" customHeight="1">
      <c r="A195" s="22">
        <v>43405</v>
      </c>
      <c r="B195" s="22"/>
      <c r="C195" s="26">
        <f>ROUND(7.065,5)</f>
        <v>7.065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ROUND(7.065,5)</f>
        <v>7.065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ROUND(7.28,5)</f>
        <v>7.28</v>
      </c>
      <c r="D198" s="26">
        <f>F198</f>
        <v>7.27355</v>
      </c>
      <c r="E198" s="26">
        <f>F198</f>
        <v>7.27355</v>
      </c>
      <c r="F198" s="26">
        <f>ROUND(7.27355,5)</f>
        <v>7.27355</v>
      </c>
      <c r="G198" s="24"/>
      <c r="H198" s="36"/>
    </row>
    <row r="199" spans="1:8" ht="12.75" customHeight="1">
      <c r="A199" s="22">
        <v>43223</v>
      </c>
      <c r="B199" s="22"/>
      <c r="C199" s="26">
        <f>ROUND(7.28,5)</f>
        <v>7.28</v>
      </c>
      <c r="D199" s="26">
        <f>F199</f>
        <v>7.23722</v>
      </c>
      <c r="E199" s="26">
        <f>F199</f>
        <v>7.23722</v>
      </c>
      <c r="F199" s="26">
        <f>ROUND(7.23722,5)</f>
        <v>7.23722</v>
      </c>
      <c r="G199" s="24"/>
      <c r="H199" s="36"/>
    </row>
    <row r="200" spans="1:8" ht="12.75" customHeight="1">
      <c r="A200" s="22">
        <v>43314</v>
      </c>
      <c r="B200" s="22"/>
      <c r="C200" s="26">
        <f>ROUND(7.28,5)</f>
        <v>7.28</v>
      </c>
      <c r="D200" s="26">
        <f>F200</f>
        <v>7.17433</v>
      </c>
      <c r="E200" s="26">
        <f>F200</f>
        <v>7.17433</v>
      </c>
      <c r="F200" s="26">
        <f>ROUND(7.17433,5)</f>
        <v>7.17433</v>
      </c>
      <c r="G200" s="24"/>
      <c r="H200" s="36"/>
    </row>
    <row r="201" spans="1:8" ht="12.75" customHeight="1">
      <c r="A201" s="22">
        <v>43405</v>
      </c>
      <c r="B201" s="22"/>
      <c r="C201" s="26">
        <f>ROUND(7.28,5)</f>
        <v>7.28</v>
      </c>
      <c r="D201" s="26">
        <f>F201</f>
        <v>7.01778</v>
      </c>
      <c r="E201" s="26">
        <f>F201</f>
        <v>7.01778</v>
      </c>
      <c r="F201" s="26">
        <f>ROUND(7.01778,5)</f>
        <v>7.01778</v>
      </c>
      <c r="G201" s="24"/>
      <c r="H201" s="36"/>
    </row>
    <row r="202" spans="1:8" ht="12.75" customHeight="1">
      <c r="A202" s="22">
        <v>43503</v>
      </c>
      <c r="B202" s="22"/>
      <c r="C202" s="26">
        <f>ROUND(7.28,5)</f>
        <v>7.28</v>
      </c>
      <c r="D202" s="26">
        <f>F202</f>
        <v>6.80977</v>
      </c>
      <c r="E202" s="26">
        <f>F202</f>
        <v>6.80977</v>
      </c>
      <c r="F202" s="26">
        <f>ROUND(6.80977,5)</f>
        <v>6.80977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ROUND(7.56,5)</f>
        <v>7.56</v>
      </c>
      <c r="D204" s="26">
        <f>F204</f>
        <v>7.56487</v>
      </c>
      <c r="E204" s="26">
        <f>F204</f>
        <v>7.56487</v>
      </c>
      <c r="F204" s="26">
        <f>ROUND(7.56487,5)</f>
        <v>7.56487</v>
      </c>
      <c r="G204" s="24"/>
      <c r="H204" s="36"/>
    </row>
    <row r="205" spans="1:8" ht="12.75" customHeight="1">
      <c r="A205" s="22">
        <v>43223</v>
      </c>
      <c r="B205" s="22"/>
      <c r="C205" s="26">
        <f>ROUND(7.56,5)</f>
        <v>7.56</v>
      </c>
      <c r="D205" s="26">
        <f>F205</f>
        <v>7.56517</v>
      </c>
      <c r="E205" s="26">
        <f>F205</f>
        <v>7.56517</v>
      </c>
      <c r="F205" s="26">
        <f>ROUND(7.56517,5)</f>
        <v>7.56517</v>
      </c>
      <c r="G205" s="24"/>
      <c r="H205" s="36"/>
    </row>
    <row r="206" spans="1:8" ht="12.75" customHeight="1">
      <c r="A206" s="22">
        <v>43314</v>
      </c>
      <c r="B206" s="22"/>
      <c r="C206" s="26">
        <f>ROUND(7.56,5)</f>
        <v>7.56</v>
      </c>
      <c r="D206" s="26">
        <f>F206</f>
        <v>7.55845</v>
      </c>
      <c r="E206" s="26">
        <f>F206</f>
        <v>7.55845</v>
      </c>
      <c r="F206" s="26">
        <f>ROUND(7.55845,5)</f>
        <v>7.55845</v>
      </c>
      <c r="G206" s="24"/>
      <c r="H206" s="36"/>
    </row>
    <row r="207" spans="1:8" ht="12.75" customHeight="1">
      <c r="A207" s="22">
        <v>43405</v>
      </c>
      <c r="B207" s="22"/>
      <c r="C207" s="26">
        <f>ROUND(7.56,5)</f>
        <v>7.56</v>
      </c>
      <c r="D207" s="26">
        <f>F207</f>
        <v>7.52711</v>
      </c>
      <c r="E207" s="26">
        <f>F207</f>
        <v>7.52711</v>
      </c>
      <c r="F207" s="26">
        <f>ROUND(7.52711,5)</f>
        <v>7.52711</v>
      </c>
      <c r="G207" s="24"/>
      <c r="H207" s="36"/>
    </row>
    <row r="208" spans="1:8" ht="12.75" customHeight="1">
      <c r="A208" s="22">
        <v>43503</v>
      </c>
      <c r="B208" s="22"/>
      <c r="C208" s="26">
        <f>ROUND(7.56,5)</f>
        <v>7.56</v>
      </c>
      <c r="D208" s="26">
        <f>F208</f>
        <v>7.50961</v>
      </c>
      <c r="E208" s="26">
        <f>F208</f>
        <v>7.50961</v>
      </c>
      <c r="F208" s="26">
        <f>ROUND(7.50961,5)</f>
        <v>7.50961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ROUND(9.475,5)</f>
        <v>9.475</v>
      </c>
      <c r="D210" s="26">
        <f>F210</f>
        <v>9.4948</v>
      </c>
      <c r="E210" s="26">
        <f>F210</f>
        <v>9.4948</v>
      </c>
      <c r="F210" s="26">
        <f>ROUND(9.4948,5)</f>
        <v>9.4948</v>
      </c>
      <c r="G210" s="24"/>
      <c r="H210" s="36"/>
    </row>
    <row r="211" spans="1:8" ht="12.75" customHeight="1">
      <c r="A211" s="22">
        <v>43223</v>
      </c>
      <c r="B211" s="22"/>
      <c r="C211" s="26">
        <f>ROUND(9.475,5)</f>
        <v>9.475</v>
      </c>
      <c r="D211" s="26">
        <f>F211</f>
        <v>9.5463</v>
      </c>
      <c r="E211" s="26">
        <f>F211</f>
        <v>9.5463</v>
      </c>
      <c r="F211" s="26">
        <f>ROUND(9.5463,5)</f>
        <v>9.5463</v>
      </c>
      <c r="G211" s="24"/>
      <c r="H211" s="36"/>
    </row>
    <row r="212" spans="1:8" ht="12.75" customHeight="1">
      <c r="A212" s="22">
        <v>43314</v>
      </c>
      <c r="B212" s="22"/>
      <c r="C212" s="26">
        <f>ROUND(9.475,5)</f>
        <v>9.475</v>
      </c>
      <c r="D212" s="26">
        <f>F212</f>
        <v>9.59735</v>
      </c>
      <c r="E212" s="26">
        <f>F212</f>
        <v>9.59735</v>
      </c>
      <c r="F212" s="26">
        <f>ROUND(9.59735,5)</f>
        <v>9.59735</v>
      </c>
      <c r="G212" s="24"/>
      <c r="H212" s="36"/>
    </row>
    <row r="213" spans="1:8" ht="12.75" customHeight="1">
      <c r="A213" s="22">
        <v>43405</v>
      </c>
      <c r="B213" s="22"/>
      <c r="C213" s="26">
        <f>ROUND(9.475,5)</f>
        <v>9.475</v>
      </c>
      <c r="D213" s="26">
        <f>F213</f>
        <v>9.64494</v>
      </c>
      <c r="E213" s="26">
        <f>F213</f>
        <v>9.64494</v>
      </c>
      <c r="F213" s="26">
        <f>ROUND(9.64494,5)</f>
        <v>9.64494</v>
      </c>
      <c r="G213" s="24"/>
      <c r="H213" s="36"/>
    </row>
    <row r="214" spans="1:8" ht="12.75" customHeight="1">
      <c r="A214" s="22">
        <v>43503</v>
      </c>
      <c r="B214" s="22"/>
      <c r="C214" s="26">
        <f>ROUND(9.475,5)</f>
        <v>9.475</v>
      </c>
      <c r="D214" s="26">
        <f>F214</f>
        <v>9.70338</v>
      </c>
      <c r="E214" s="26">
        <f>F214</f>
        <v>9.70338</v>
      </c>
      <c r="F214" s="26">
        <f>ROUND(9.70338,5)</f>
        <v>9.70338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ROUND(2.54,5)</f>
        <v>2.54</v>
      </c>
      <c r="D216" s="26">
        <f>F216</f>
        <v>187.23145</v>
      </c>
      <c r="E216" s="26">
        <f>F216</f>
        <v>187.23145</v>
      </c>
      <c r="F216" s="26">
        <f>ROUND(187.23145,5)</f>
        <v>187.23145</v>
      </c>
      <c r="G216" s="24"/>
      <c r="H216" s="36"/>
    </row>
    <row r="217" spans="1:8" ht="12.75" customHeight="1">
      <c r="A217" s="22">
        <v>43223</v>
      </c>
      <c r="B217" s="22"/>
      <c r="C217" s="26">
        <f>ROUND(2.54,5)</f>
        <v>2.54</v>
      </c>
      <c r="D217" s="26">
        <f>F217</f>
        <v>188.31682</v>
      </c>
      <c r="E217" s="26">
        <f>F217</f>
        <v>188.31682</v>
      </c>
      <c r="F217" s="26">
        <f>ROUND(188.31682,5)</f>
        <v>188.31682</v>
      </c>
      <c r="G217" s="24"/>
      <c r="H217" s="36"/>
    </row>
    <row r="218" spans="1:8" ht="12.75" customHeight="1">
      <c r="A218" s="22">
        <v>43314</v>
      </c>
      <c r="B218" s="22"/>
      <c r="C218" s="26">
        <f>ROUND(2.54,5)</f>
        <v>2.54</v>
      </c>
      <c r="D218" s="26">
        <f>F218</f>
        <v>191.88644</v>
      </c>
      <c r="E218" s="26">
        <f>F218</f>
        <v>191.88644</v>
      </c>
      <c r="F218" s="26">
        <f>ROUND(191.88644,5)</f>
        <v>191.88644</v>
      </c>
      <c r="G218" s="24"/>
      <c r="H218" s="36"/>
    </row>
    <row r="219" spans="1:8" ht="12.75" customHeight="1">
      <c r="A219" s="22">
        <v>43405</v>
      </c>
      <c r="B219" s="22"/>
      <c r="C219" s="26">
        <f>ROUND(2.54,5)</f>
        <v>2.54</v>
      </c>
      <c r="D219" s="26">
        <f>F219</f>
        <v>195.65913</v>
      </c>
      <c r="E219" s="26">
        <f>F219</f>
        <v>195.65913</v>
      </c>
      <c r="F219" s="26">
        <f>ROUND(195.65913,5)</f>
        <v>195.65913</v>
      </c>
      <c r="G219" s="24"/>
      <c r="H219" s="36"/>
    </row>
    <row r="220" spans="1:8" ht="12.75" customHeight="1">
      <c r="A220" s="22">
        <v>43503</v>
      </c>
      <c r="B220" s="22"/>
      <c r="C220" s="26">
        <f>ROUND(2.54,5)</f>
        <v>2.54</v>
      </c>
      <c r="D220" s="26">
        <f>F220</f>
        <v>199.66296</v>
      </c>
      <c r="E220" s="26">
        <f>F220</f>
        <v>199.66296</v>
      </c>
      <c r="F220" s="26">
        <f>ROUND(199.66296,5)</f>
        <v>199.66296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151.32445</v>
      </c>
      <c r="E222" s="26">
        <f>F222</f>
        <v>151.32445</v>
      </c>
      <c r="F222" s="26">
        <f>ROUND(151.32445,5)</f>
        <v>151.32445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154.16165</v>
      </c>
      <c r="E223" s="26">
        <f>F223</f>
        <v>154.16165</v>
      </c>
      <c r="F223" s="26">
        <f>ROUND(154.16165,5)</f>
        <v>154.16165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157.01609</v>
      </c>
      <c r="E224" s="26">
        <f>F224</f>
        <v>157.01609</v>
      </c>
      <c r="F224" s="26">
        <f>ROUND(157.01609,5)</f>
        <v>157.01609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160.10311</v>
      </c>
      <c r="E225" s="26">
        <f>F225</f>
        <v>160.10311</v>
      </c>
      <c r="F225" s="26">
        <f>ROUND(160.10311,5)</f>
        <v>160.10311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163.37957</v>
      </c>
      <c r="E226" s="26">
        <f>F226</f>
        <v>163.37957</v>
      </c>
      <c r="F226" s="26">
        <f>ROUND(163.37957,5)</f>
        <v>163.37957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ROUND(9.22,5)</f>
        <v>9.22</v>
      </c>
      <c r="D228" s="26">
        <f>F228</f>
        <v>9.24116</v>
      </c>
      <c r="E228" s="26">
        <f>F228</f>
        <v>9.24116</v>
      </c>
      <c r="F228" s="26">
        <f>ROUND(9.24116,5)</f>
        <v>9.24116</v>
      </c>
      <c r="G228" s="24"/>
      <c r="H228" s="36"/>
    </row>
    <row r="229" spans="1:8" ht="12.75" customHeight="1">
      <c r="A229" s="22">
        <v>43223</v>
      </c>
      <c r="B229" s="22"/>
      <c r="C229" s="26">
        <f>ROUND(9.22,5)</f>
        <v>9.22</v>
      </c>
      <c r="D229" s="26">
        <f>F229</f>
        <v>9.2923</v>
      </c>
      <c r="E229" s="26">
        <f>F229</f>
        <v>9.2923</v>
      </c>
      <c r="F229" s="26">
        <f>ROUND(9.2923,5)</f>
        <v>9.2923</v>
      </c>
      <c r="G229" s="24"/>
      <c r="H229" s="36"/>
    </row>
    <row r="230" spans="1:8" ht="12.75" customHeight="1">
      <c r="A230" s="22">
        <v>43314</v>
      </c>
      <c r="B230" s="22"/>
      <c r="C230" s="26">
        <f>ROUND(9.22,5)</f>
        <v>9.22</v>
      </c>
      <c r="D230" s="26">
        <f>F230</f>
        <v>9.34359</v>
      </c>
      <c r="E230" s="26">
        <f>F230</f>
        <v>9.34359</v>
      </c>
      <c r="F230" s="26">
        <f>ROUND(9.34359,5)</f>
        <v>9.34359</v>
      </c>
      <c r="G230" s="24"/>
      <c r="H230" s="36"/>
    </row>
    <row r="231" spans="1:8" ht="12.75" customHeight="1">
      <c r="A231" s="22">
        <v>43405</v>
      </c>
      <c r="B231" s="22"/>
      <c r="C231" s="26">
        <f>ROUND(9.22,5)</f>
        <v>9.22</v>
      </c>
      <c r="D231" s="26">
        <f>F231</f>
        <v>9.39318</v>
      </c>
      <c r="E231" s="26">
        <f>F231</f>
        <v>9.39318</v>
      </c>
      <c r="F231" s="26">
        <f>ROUND(9.39318,5)</f>
        <v>9.39318</v>
      </c>
      <c r="G231" s="24"/>
      <c r="H231" s="36"/>
    </row>
    <row r="232" spans="1:8" ht="12.75" customHeight="1">
      <c r="A232" s="22">
        <v>43503</v>
      </c>
      <c r="B232" s="22"/>
      <c r="C232" s="26">
        <f>ROUND(9.22,5)</f>
        <v>9.22</v>
      </c>
      <c r="D232" s="26">
        <f>F232</f>
        <v>9.45669</v>
      </c>
      <c r="E232" s="26">
        <f>F232</f>
        <v>9.45669</v>
      </c>
      <c r="F232" s="26">
        <f>ROUND(9.45669,5)</f>
        <v>9.45669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ROUND(9.69,5)</f>
        <v>9.69</v>
      </c>
      <c r="D234" s="26">
        <f>F234</f>
        <v>9.7115</v>
      </c>
      <c r="E234" s="26">
        <f>F234</f>
        <v>9.7115</v>
      </c>
      <c r="F234" s="26">
        <f>ROUND(9.7115,5)</f>
        <v>9.7115</v>
      </c>
      <c r="G234" s="24"/>
      <c r="H234" s="36"/>
    </row>
    <row r="235" spans="1:8" ht="12.75" customHeight="1">
      <c r="A235" s="22">
        <v>43223</v>
      </c>
      <c r="B235" s="22"/>
      <c r="C235" s="26">
        <f>ROUND(9.69,5)</f>
        <v>9.69</v>
      </c>
      <c r="D235" s="26">
        <f>F235</f>
        <v>9.76442</v>
      </c>
      <c r="E235" s="26">
        <f>F235</f>
        <v>9.76442</v>
      </c>
      <c r="F235" s="26">
        <f>ROUND(9.76442,5)</f>
        <v>9.76442</v>
      </c>
      <c r="G235" s="24"/>
      <c r="H235" s="36"/>
    </row>
    <row r="236" spans="1:8" ht="12.75" customHeight="1">
      <c r="A236" s="22">
        <v>43314</v>
      </c>
      <c r="B236" s="22"/>
      <c r="C236" s="26">
        <f>ROUND(9.69,5)</f>
        <v>9.69</v>
      </c>
      <c r="D236" s="26">
        <f>F236</f>
        <v>9.81743</v>
      </c>
      <c r="E236" s="26">
        <f>F236</f>
        <v>9.81743</v>
      </c>
      <c r="F236" s="26">
        <f>ROUND(9.81743,5)</f>
        <v>9.81743</v>
      </c>
      <c r="G236" s="24"/>
      <c r="H236" s="36"/>
    </row>
    <row r="237" spans="1:8" ht="12.75" customHeight="1">
      <c r="A237" s="22">
        <v>43405</v>
      </c>
      <c r="B237" s="22"/>
      <c r="C237" s="26">
        <f>ROUND(9.69,5)</f>
        <v>9.69</v>
      </c>
      <c r="D237" s="26">
        <f>F237</f>
        <v>9.8689</v>
      </c>
      <c r="E237" s="26">
        <f>F237</f>
        <v>9.8689</v>
      </c>
      <c r="F237" s="26">
        <f>ROUND(9.8689,5)</f>
        <v>9.8689</v>
      </c>
      <c r="G237" s="24"/>
      <c r="H237" s="36"/>
    </row>
    <row r="238" spans="1:8" ht="12.75" customHeight="1">
      <c r="A238" s="22">
        <v>43503</v>
      </c>
      <c r="B238" s="22"/>
      <c r="C238" s="26">
        <f>ROUND(9.69,5)</f>
        <v>9.69</v>
      </c>
      <c r="D238" s="26">
        <f>F238</f>
        <v>9.93242</v>
      </c>
      <c r="E238" s="26">
        <f>F238</f>
        <v>9.93242</v>
      </c>
      <c r="F238" s="26">
        <f>ROUND(9.93242,5)</f>
        <v>9.93242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ROUND(9.715,5)</f>
        <v>9.715</v>
      </c>
      <c r="D240" s="26">
        <f>F240</f>
        <v>9.7368</v>
      </c>
      <c r="E240" s="26">
        <f>F240</f>
        <v>9.7368</v>
      </c>
      <c r="F240" s="26">
        <f>ROUND(9.7368,5)</f>
        <v>9.7368</v>
      </c>
      <c r="G240" s="24"/>
      <c r="H240" s="36"/>
    </row>
    <row r="241" spans="1:8" ht="12.75" customHeight="1">
      <c r="A241" s="22">
        <v>43223</v>
      </c>
      <c r="B241" s="22"/>
      <c r="C241" s="26">
        <f>ROUND(9.715,5)</f>
        <v>9.715</v>
      </c>
      <c r="D241" s="26">
        <f>F241</f>
        <v>9.79046</v>
      </c>
      <c r="E241" s="26">
        <f>F241</f>
        <v>9.79046</v>
      </c>
      <c r="F241" s="26">
        <f>ROUND(9.79046,5)</f>
        <v>9.79046</v>
      </c>
      <c r="G241" s="24"/>
      <c r="H241" s="36"/>
    </row>
    <row r="242" spans="1:8" ht="12.75" customHeight="1">
      <c r="A242" s="22">
        <v>43314</v>
      </c>
      <c r="B242" s="22"/>
      <c r="C242" s="26">
        <f>ROUND(9.715,5)</f>
        <v>9.715</v>
      </c>
      <c r="D242" s="26">
        <f>F242</f>
        <v>9.84426</v>
      </c>
      <c r="E242" s="26">
        <f>F242</f>
        <v>9.84426</v>
      </c>
      <c r="F242" s="26">
        <f>ROUND(9.84426,5)</f>
        <v>9.84426</v>
      </c>
      <c r="G242" s="24"/>
      <c r="H242" s="36"/>
    </row>
    <row r="243" spans="1:8" ht="12.75" customHeight="1">
      <c r="A243" s="22">
        <v>43405</v>
      </c>
      <c r="B243" s="22"/>
      <c r="C243" s="26">
        <f>ROUND(9.715,5)</f>
        <v>9.715</v>
      </c>
      <c r="D243" s="26">
        <f>F243</f>
        <v>9.89648</v>
      </c>
      <c r="E243" s="26">
        <f>F243</f>
        <v>9.89648</v>
      </c>
      <c r="F243" s="26">
        <f>ROUND(9.89648,5)</f>
        <v>9.89648</v>
      </c>
      <c r="G243" s="24"/>
      <c r="H243" s="36"/>
    </row>
    <row r="244" spans="1:8" ht="12.75" customHeight="1">
      <c r="A244" s="22">
        <v>43503</v>
      </c>
      <c r="B244" s="22"/>
      <c r="C244" s="26">
        <f>ROUND(9.715,5)</f>
        <v>9.715</v>
      </c>
      <c r="D244" s="26">
        <f>F244</f>
        <v>9.9609</v>
      </c>
      <c r="E244" s="26">
        <f>F244</f>
        <v>9.9609</v>
      </c>
      <c r="F244" s="26">
        <f>ROUND(9.9609,5)</f>
        <v>9.9609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ROUND(9.6040855625,4)</f>
        <v>9.6041</v>
      </c>
      <c r="D246" s="25">
        <f>F246</f>
        <v>9.6221</v>
      </c>
      <c r="E246" s="25">
        <f>F246</f>
        <v>9.6221</v>
      </c>
      <c r="F246" s="25">
        <f>ROUND(9.6221,4)</f>
        <v>9.6221</v>
      </c>
      <c r="G246" s="24"/>
      <c r="H246" s="36"/>
    </row>
    <row r="247" spans="1:8" ht="12.75" customHeight="1">
      <c r="A247" s="22">
        <v>43159</v>
      </c>
      <c r="B247" s="22"/>
      <c r="C247" s="25">
        <f>ROUND(9.6040855625,4)</f>
        <v>9.6041</v>
      </c>
      <c r="D247" s="25">
        <f>F247</f>
        <v>9.6839</v>
      </c>
      <c r="E247" s="25">
        <f>F247</f>
        <v>9.6839</v>
      </c>
      <c r="F247" s="25">
        <f>ROUND(9.6839,4)</f>
        <v>9.6839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ROUND(14.7355575,4)</f>
        <v>14.7356</v>
      </c>
      <c r="D249" s="25">
        <f>F249</f>
        <v>14.8076</v>
      </c>
      <c r="E249" s="25">
        <f>F249</f>
        <v>14.8076</v>
      </c>
      <c r="F249" s="25">
        <f>ROUND(14.8076,4)</f>
        <v>14.8076</v>
      </c>
      <c r="G249" s="24"/>
      <c r="H249" s="36"/>
    </row>
    <row r="250" spans="1:8" ht="12.75" customHeight="1">
      <c r="A250" s="22">
        <v>43131</v>
      </c>
      <c r="B250" s="22"/>
      <c r="C250" s="25">
        <f>ROUND(14.7355575,4)</f>
        <v>14.7356</v>
      </c>
      <c r="D250" s="25">
        <f>F250</f>
        <v>14.822</v>
      </c>
      <c r="E250" s="25">
        <f>F250</f>
        <v>14.822</v>
      </c>
      <c r="F250" s="25">
        <f>ROUND(14.822,4)</f>
        <v>14.822</v>
      </c>
      <c r="G250" s="24"/>
      <c r="H250" s="36"/>
    </row>
    <row r="251" spans="1:8" ht="12.75" customHeight="1">
      <c r="A251" s="22">
        <v>43146</v>
      </c>
      <c r="B251" s="22"/>
      <c r="C251" s="25">
        <f>ROUND(14.7355575,4)</f>
        <v>14.7356</v>
      </c>
      <c r="D251" s="25">
        <f>F251</f>
        <v>14.8682</v>
      </c>
      <c r="E251" s="25">
        <f>F251</f>
        <v>14.8682</v>
      </c>
      <c r="F251" s="25">
        <f>ROUND(14.8682,4)</f>
        <v>14.8682</v>
      </c>
      <c r="G251" s="24"/>
      <c r="H251" s="36"/>
    </row>
    <row r="252" spans="1:8" ht="12.75" customHeight="1">
      <c r="A252" s="22">
        <v>43159</v>
      </c>
      <c r="B252" s="22"/>
      <c r="C252" s="25">
        <f>ROUND(14.7355575,4)</f>
        <v>14.7356</v>
      </c>
      <c r="D252" s="25">
        <f>F252</f>
        <v>14.9076</v>
      </c>
      <c r="E252" s="25">
        <f>F252</f>
        <v>14.9076</v>
      </c>
      <c r="F252" s="25">
        <f>ROUND(14.9076,4)</f>
        <v>14.9076</v>
      </c>
      <c r="G252" s="24"/>
      <c r="H252" s="36"/>
    </row>
    <row r="253" spans="1:8" ht="12.75" customHeight="1">
      <c r="A253" s="22">
        <v>43174</v>
      </c>
      <c r="B253" s="22"/>
      <c r="C253" s="25">
        <f>ROUND(14.7355575,4)</f>
        <v>14.7356</v>
      </c>
      <c r="D253" s="25">
        <f>F253</f>
        <v>14.9546</v>
      </c>
      <c r="E253" s="25">
        <f>F253</f>
        <v>14.9546</v>
      </c>
      <c r="F253" s="25">
        <f>ROUND(14.9546,4)</f>
        <v>14.9546</v>
      </c>
      <c r="G253" s="24"/>
      <c r="H253" s="36"/>
    </row>
    <row r="254" spans="1:8" ht="12.75" customHeight="1">
      <c r="A254" s="22">
        <v>43188</v>
      </c>
      <c r="B254" s="22"/>
      <c r="C254" s="25">
        <f>ROUND(14.7355575,4)</f>
        <v>14.7356</v>
      </c>
      <c r="D254" s="25">
        <f>F254</f>
        <v>14.9991</v>
      </c>
      <c r="E254" s="25">
        <f>F254</f>
        <v>14.9991</v>
      </c>
      <c r="F254" s="25">
        <f>ROUND(14.9991,4)</f>
        <v>14.9991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ROUND(16.6051659375,4)</f>
        <v>16.6052</v>
      </c>
      <c r="D256" s="25">
        <f>F256</f>
        <v>16.6904</v>
      </c>
      <c r="E256" s="25">
        <f>F256</f>
        <v>16.6904</v>
      </c>
      <c r="F256" s="25">
        <f>ROUND(16.6904,4)</f>
        <v>16.6904</v>
      </c>
      <c r="G256" s="24"/>
      <c r="H256" s="36"/>
    </row>
    <row r="257" spans="1:8" ht="12.75" customHeight="1">
      <c r="A257" s="22">
        <v>43160</v>
      </c>
      <c r="B257" s="22"/>
      <c r="C257" s="25">
        <f>ROUND(16.6051659375,4)</f>
        <v>16.6052</v>
      </c>
      <c r="D257" s="25">
        <f>F257</f>
        <v>16.777</v>
      </c>
      <c r="E257" s="25">
        <f>F257</f>
        <v>16.777</v>
      </c>
      <c r="F257" s="25">
        <f>ROUND(16.777,4)</f>
        <v>16.777</v>
      </c>
      <c r="G257" s="24"/>
      <c r="H257" s="36"/>
    </row>
    <row r="258" spans="1:8" ht="12.75" customHeight="1">
      <c r="A258" s="22">
        <v>43174</v>
      </c>
      <c r="B258" s="22"/>
      <c r="C258" s="25">
        <f>ROUND(16.6051659375,4)</f>
        <v>16.6052</v>
      </c>
      <c r="D258" s="25">
        <f>F258</f>
        <v>16.8196</v>
      </c>
      <c r="E258" s="25">
        <f>F258</f>
        <v>16.8196</v>
      </c>
      <c r="F258" s="25">
        <f>ROUND(16.8196,4)</f>
        <v>16.8196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43098</v>
      </c>
      <c r="B260" s="22"/>
      <c r="C260" s="25">
        <f>ROUND(12.295,4)</f>
        <v>12.295</v>
      </c>
      <c r="D260" s="25">
        <f>F260</f>
        <v>12.295</v>
      </c>
      <c r="E260" s="25">
        <f>F260</f>
        <v>12.295</v>
      </c>
      <c r="F260" s="25">
        <f>ROUND(12.295,4)</f>
        <v>12.295</v>
      </c>
      <c r="G260" s="24"/>
      <c r="H260" s="36"/>
    </row>
    <row r="261" spans="1:8" ht="12.75" customHeight="1">
      <c r="A261" s="22">
        <v>43102</v>
      </c>
      <c r="B261" s="22"/>
      <c r="C261" s="25">
        <f>ROUND(12.295,4)</f>
        <v>12.295</v>
      </c>
      <c r="D261" s="25">
        <f>F261</f>
        <v>12.2971</v>
      </c>
      <c r="E261" s="25">
        <f>F261</f>
        <v>12.2971</v>
      </c>
      <c r="F261" s="25">
        <f>ROUND(12.2971,4)</f>
        <v>12.2971</v>
      </c>
      <c r="G261" s="24"/>
      <c r="H261" s="36"/>
    </row>
    <row r="262" spans="1:8" ht="12.75" customHeight="1">
      <c r="A262" s="22">
        <v>43104</v>
      </c>
      <c r="B262" s="22"/>
      <c r="C262" s="25">
        <f>ROUND(12.295,4)</f>
        <v>12.295</v>
      </c>
      <c r="D262" s="25">
        <f>F262</f>
        <v>12.2971</v>
      </c>
      <c r="E262" s="25">
        <f>F262</f>
        <v>12.2971</v>
      </c>
      <c r="F262" s="25">
        <f>ROUND(12.2971,4)</f>
        <v>12.2971</v>
      </c>
      <c r="G262" s="24"/>
      <c r="H262" s="36"/>
    </row>
    <row r="263" spans="1:8" ht="12.75" customHeight="1">
      <c r="A263" s="22">
        <v>43108</v>
      </c>
      <c r="B263" s="22"/>
      <c r="C263" s="25">
        <f>ROUND(12.295,4)</f>
        <v>12.295</v>
      </c>
      <c r="D263" s="25">
        <f>F263</f>
        <v>12.3047</v>
      </c>
      <c r="E263" s="25">
        <f>F263</f>
        <v>12.3047</v>
      </c>
      <c r="F263" s="25">
        <f>ROUND(12.3047,4)</f>
        <v>12.3047</v>
      </c>
      <c r="G263" s="24"/>
      <c r="H263" s="36"/>
    </row>
    <row r="264" spans="1:8" ht="12.75" customHeight="1">
      <c r="A264" s="22">
        <v>43109</v>
      </c>
      <c r="B264" s="22"/>
      <c r="C264" s="25">
        <f>ROUND(12.295,4)</f>
        <v>12.295</v>
      </c>
      <c r="D264" s="25">
        <f>F264</f>
        <v>12.3066</v>
      </c>
      <c r="E264" s="25">
        <f>F264</f>
        <v>12.3066</v>
      </c>
      <c r="F264" s="25">
        <f>ROUND(12.3066,4)</f>
        <v>12.3066</v>
      </c>
      <c r="G264" s="24"/>
      <c r="H264" s="36"/>
    </row>
    <row r="265" spans="1:8" ht="12.75" customHeight="1">
      <c r="A265" s="22">
        <v>43110</v>
      </c>
      <c r="B265" s="22"/>
      <c r="C265" s="25">
        <f>ROUND(12.295,4)</f>
        <v>12.295</v>
      </c>
      <c r="D265" s="25">
        <f>F265</f>
        <v>12.3086</v>
      </c>
      <c r="E265" s="25">
        <f>F265</f>
        <v>12.3086</v>
      </c>
      <c r="F265" s="25">
        <f>ROUND(12.3086,4)</f>
        <v>12.3086</v>
      </c>
      <c r="G265" s="24"/>
      <c r="H265" s="36"/>
    </row>
    <row r="266" spans="1:8" ht="12.75" customHeight="1">
      <c r="A266" s="22">
        <v>43112</v>
      </c>
      <c r="B266" s="22"/>
      <c r="C266" s="25">
        <f>ROUND(12.295,4)</f>
        <v>12.295</v>
      </c>
      <c r="D266" s="25">
        <f>F266</f>
        <v>12.3123</v>
      </c>
      <c r="E266" s="25">
        <f>F266</f>
        <v>12.3123</v>
      </c>
      <c r="F266" s="25">
        <f>ROUND(12.3123,4)</f>
        <v>12.3123</v>
      </c>
      <c r="G266" s="24"/>
      <c r="H266" s="36"/>
    </row>
    <row r="267" spans="1:8" ht="12.75" customHeight="1">
      <c r="A267" s="22">
        <v>43115</v>
      </c>
      <c r="B267" s="22"/>
      <c r="C267" s="25">
        <f>ROUND(12.295,4)</f>
        <v>12.295</v>
      </c>
      <c r="D267" s="25">
        <f>F267</f>
        <v>12.3178</v>
      </c>
      <c r="E267" s="25">
        <f>F267</f>
        <v>12.3178</v>
      </c>
      <c r="F267" s="25">
        <f>ROUND(12.3178,4)</f>
        <v>12.3178</v>
      </c>
      <c r="G267" s="24"/>
      <c r="H267" s="36"/>
    </row>
    <row r="268" spans="1:8" ht="12.75" customHeight="1">
      <c r="A268" s="22">
        <v>43116</v>
      </c>
      <c r="B268" s="22"/>
      <c r="C268" s="25">
        <f>ROUND(12.295,4)</f>
        <v>12.295</v>
      </c>
      <c r="D268" s="25">
        <f>F268</f>
        <v>12.3197</v>
      </c>
      <c r="E268" s="25">
        <f>F268</f>
        <v>12.3197</v>
      </c>
      <c r="F268" s="25">
        <f>ROUND(12.3197,4)</f>
        <v>12.3197</v>
      </c>
      <c r="G268" s="24"/>
      <c r="H268" s="36"/>
    </row>
    <row r="269" spans="1:8" ht="12.75" customHeight="1">
      <c r="A269" s="22">
        <v>43118</v>
      </c>
      <c r="B269" s="22"/>
      <c r="C269" s="25">
        <f>ROUND(12.295,4)</f>
        <v>12.295</v>
      </c>
      <c r="D269" s="25">
        <f>F269</f>
        <v>12.3234</v>
      </c>
      <c r="E269" s="25">
        <f>F269</f>
        <v>12.3234</v>
      </c>
      <c r="F269" s="25">
        <f>ROUND(12.3234,4)</f>
        <v>12.3234</v>
      </c>
      <c r="G269" s="24"/>
      <c r="H269" s="36"/>
    </row>
    <row r="270" spans="1:8" ht="12.75" customHeight="1">
      <c r="A270" s="22">
        <v>43119</v>
      </c>
      <c r="B270" s="22"/>
      <c r="C270" s="25">
        <f>ROUND(12.295,4)</f>
        <v>12.295</v>
      </c>
      <c r="D270" s="25">
        <f>F270</f>
        <v>12.3253</v>
      </c>
      <c r="E270" s="25">
        <f>F270</f>
        <v>12.3253</v>
      </c>
      <c r="F270" s="25">
        <f>ROUND(12.3253,4)</f>
        <v>12.3253</v>
      </c>
      <c r="G270" s="24"/>
      <c r="H270" s="36"/>
    </row>
    <row r="271" spans="1:8" ht="12.75" customHeight="1">
      <c r="A271" s="22">
        <v>43125</v>
      </c>
      <c r="B271" s="22"/>
      <c r="C271" s="25">
        <f>ROUND(12.295,4)</f>
        <v>12.295</v>
      </c>
      <c r="D271" s="25">
        <f>F271</f>
        <v>12.3364</v>
      </c>
      <c r="E271" s="25">
        <f>F271</f>
        <v>12.3364</v>
      </c>
      <c r="F271" s="25">
        <f>ROUND(12.3364,4)</f>
        <v>12.3364</v>
      </c>
      <c r="G271" s="24"/>
      <c r="H271" s="36"/>
    </row>
    <row r="272" spans="1:8" ht="12.75" customHeight="1">
      <c r="A272" s="22">
        <v>43131</v>
      </c>
      <c r="B272" s="22"/>
      <c r="C272" s="25">
        <f>ROUND(12.295,4)</f>
        <v>12.295</v>
      </c>
      <c r="D272" s="25">
        <f>F272</f>
        <v>12.3476</v>
      </c>
      <c r="E272" s="25">
        <f>F272</f>
        <v>12.3476</v>
      </c>
      <c r="F272" s="25">
        <f>ROUND(12.3476,4)</f>
        <v>12.3476</v>
      </c>
      <c r="G272" s="24"/>
      <c r="H272" s="36"/>
    </row>
    <row r="273" spans="1:8" ht="12.75" customHeight="1">
      <c r="A273" s="22">
        <v>43132</v>
      </c>
      <c r="B273" s="22"/>
      <c r="C273" s="25">
        <f>ROUND(12.295,4)</f>
        <v>12.295</v>
      </c>
      <c r="D273" s="25">
        <f>F273</f>
        <v>12.3494</v>
      </c>
      <c r="E273" s="25">
        <f>F273</f>
        <v>12.3494</v>
      </c>
      <c r="F273" s="25">
        <f>ROUND(12.3494,4)</f>
        <v>12.3494</v>
      </c>
      <c r="G273" s="24"/>
      <c r="H273" s="36"/>
    </row>
    <row r="274" spans="1:8" ht="12.75" customHeight="1">
      <c r="A274" s="22">
        <v>43137</v>
      </c>
      <c r="B274" s="22"/>
      <c r="C274" s="25">
        <f>ROUND(12.295,4)</f>
        <v>12.295</v>
      </c>
      <c r="D274" s="25">
        <f>F274</f>
        <v>12.3587</v>
      </c>
      <c r="E274" s="25">
        <f>F274</f>
        <v>12.3587</v>
      </c>
      <c r="F274" s="25">
        <f>ROUND(12.3587,4)</f>
        <v>12.3587</v>
      </c>
      <c r="G274" s="24"/>
      <c r="H274" s="36"/>
    </row>
    <row r="275" spans="1:8" ht="12.75" customHeight="1">
      <c r="A275" s="22">
        <v>43139</v>
      </c>
      <c r="B275" s="22"/>
      <c r="C275" s="25">
        <f>ROUND(12.295,4)</f>
        <v>12.295</v>
      </c>
      <c r="D275" s="25">
        <f>F275</f>
        <v>12.3623</v>
      </c>
      <c r="E275" s="25">
        <f>F275</f>
        <v>12.3623</v>
      </c>
      <c r="F275" s="25">
        <f>ROUND(12.3623,4)</f>
        <v>12.3623</v>
      </c>
      <c r="G275" s="24"/>
      <c r="H275" s="36"/>
    </row>
    <row r="276" spans="1:8" ht="12.75" customHeight="1">
      <c r="A276" s="22">
        <v>43143</v>
      </c>
      <c r="B276" s="22"/>
      <c r="C276" s="25">
        <f>ROUND(12.295,4)</f>
        <v>12.295</v>
      </c>
      <c r="D276" s="25">
        <f>F276</f>
        <v>12.3695</v>
      </c>
      <c r="E276" s="25">
        <f>F276</f>
        <v>12.3695</v>
      </c>
      <c r="F276" s="25">
        <f>ROUND(12.3695,4)</f>
        <v>12.3695</v>
      </c>
      <c r="G276" s="24"/>
      <c r="H276" s="36"/>
    </row>
    <row r="277" spans="1:8" ht="12.75" customHeight="1">
      <c r="A277" s="22">
        <v>43144</v>
      </c>
      <c r="B277" s="22"/>
      <c r="C277" s="25">
        <f>ROUND(12.295,4)</f>
        <v>12.295</v>
      </c>
      <c r="D277" s="25">
        <f>F277</f>
        <v>12.3714</v>
      </c>
      <c r="E277" s="25">
        <f>F277</f>
        <v>12.3714</v>
      </c>
      <c r="F277" s="25">
        <f>ROUND(12.3714,4)</f>
        <v>12.3714</v>
      </c>
      <c r="G277" s="24"/>
      <c r="H277" s="36"/>
    </row>
    <row r="278" spans="1:8" ht="12.75" customHeight="1">
      <c r="A278" s="22">
        <v>43146</v>
      </c>
      <c r="B278" s="22"/>
      <c r="C278" s="25">
        <f>ROUND(12.295,4)</f>
        <v>12.295</v>
      </c>
      <c r="D278" s="25">
        <f>F278</f>
        <v>12.375</v>
      </c>
      <c r="E278" s="25">
        <f>F278</f>
        <v>12.375</v>
      </c>
      <c r="F278" s="25">
        <f>ROUND(12.375,4)</f>
        <v>12.375</v>
      </c>
      <c r="G278" s="24"/>
      <c r="H278" s="36"/>
    </row>
    <row r="279" spans="1:8" ht="12.75" customHeight="1">
      <c r="A279" s="22">
        <v>43147</v>
      </c>
      <c r="B279" s="22"/>
      <c r="C279" s="25">
        <f>ROUND(12.295,4)</f>
        <v>12.295</v>
      </c>
      <c r="D279" s="25">
        <f>F279</f>
        <v>12.3768</v>
      </c>
      <c r="E279" s="25">
        <f>F279</f>
        <v>12.3768</v>
      </c>
      <c r="F279" s="25">
        <f>ROUND(12.3768,4)</f>
        <v>12.3768</v>
      </c>
      <c r="G279" s="24"/>
      <c r="H279" s="36"/>
    </row>
    <row r="280" spans="1:8" ht="12.75" customHeight="1">
      <c r="A280" s="22">
        <v>43159</v>
      </c>
      <c r="B280" s="22"/>
      <c r="C280" s="25">
        <f>ROUND(12.295,4)</f>
        <v>12.295</v>
      </c>
      <c r="D280" s="25">
        <f>F280</f>
        <v>12.3985</v>
      </c>
      <c r="E280" s="25">
        <f>F280</f>
        <v>12.3985</v>
      </c>
      <c r="F280" s="25">
        <f>ROUND(12.3985,4)</f>
        <v>12.3985</v>
      </c>
      <c r="G280" s="24"/>
      <c r="H280" s="36"/>
    </row>
    <row r="281" spans="1:8" ht="12.75" customHeight="1">
      <c r="A281" s="22">
        <v>43160</v>
      </c>
      <c r="B281" s="22"/>
      <c r="C281" s="25">
        <f>ROUND(12.295,4)</f>
        <v>12.295</v>
      </c>
      <c r="D281" s="25">
        <f>F281</f>
        <v>12.4004</v>
      </c>
      <c r="E281" s="25">
        <f>F281</f>
        <v>12.4004</v>
      </c>
      <c r="F281" s="25">
        <f>ROUND(12.4004,4)</f>
        <v>12.4004</v>
      </c>
      <c r="G281" s="24"/>
      <c r="H281" s="36"/>
    </row>
    <row r="282" spans="1:8" ht="12.75" customHeight="1">
      <c r="A282" s="22">
        <v>43161</v>
      </c>
      <c r="B282" s="22"/>
      <c r="C282" s="25">
        <f>ROUND(12.295,4)</f>
        <v>12.295</v>
      </c>
      <c r="D282" s="25">
        <f>F282</f>
        <v>12.4022</v>
      </c>
      <c r="E282" s="25">
        <f>F282</f>
        <v>12.4022</v>
      </c>
      <c r="F282" s="25">
        <f>ROUND(12.4022,4)</f>
        <v>12.4022</v>
      </c>
      <c r="G282" s="24"/>
      <c r="H282" s="36"/>
    </row>
    <row r="283" spans="1:8" ht="12.75" customHeight="1">
      <c r="A283" s="22">
        <v>43174</v>
      </c>
      <c r="B283" s="22"/>
      <c r="C283" s="25">
        <f>ROUND(12.295,4)</f>
        <v>12.295</v>
      </c>
      <c r="D283" s="25">
        <f>F283</f>
        <v>12.4255</v>
      </c>
      <c r="E283" s="25">
        <f>F283</f>
        <v>12.4255</v>
      </c>
      <c r="F283" s="25">
        <f>ROUND(12.4255,4)</f>
        <v>12.4255</v>
      </c>
      <c r="G283" s="24"/>
      <c r="H283" s="36"/>
    </row>
    <row r="284" spans="1:8" ht="12.75" customHeight="1">
      <c r="A284" s="22">
        <v>43188</v>
      </c>
      <c r="B284" s="22"/>
      <c r="C284" s="25">
        <f>ROUND(12.295,4)</f>
        <v>12.295</v>
      </c>
      <c r="D284" s="25">
        <f>F284</f>
        <v>12.4506</v>
      </c>
      <c r="E284" s="25">
        <f>F284</f>
        <v>12.4506</v>
      </c>
      <c r="F284" s="25">
        <f>ROUND(12.4506,4)</f>
        <v>12.4506</v>
      </c>
      <c r="G284" s="24"/>
      <c r="H284" s="36"/>
    </row>
    <row r="285" spans="1:8" ht="12.75" customHeight="1">
      <c r="A285" s="22">
        <v>43214</v>
      </c>
      <c r="B285" s="22"/>
      <c r="C285" s="25">
        <f>ROUND(12.295,4)</f>
        <v>12.295</v>
      </c>
      <c r="D285" s="25">
        <f>F285</f>
        <v>12.4972</v>
      </c>
      <c r="E285" s="25">
        <f>F285</f>
        <v>12.4972</v>
      </c>
      <c r="F285" s="25">
        <f>ROUND(12.4972,4)</f>
        <v>12.4972</v>
      </c>
      <c r="G285" s="24"/>
      <c r="H285" s="36"/>
    </row>
    <row r="286" spans="1:8" ht="12.75" customHeight="1">
      <c r="A286" s="22">
        <v>43215</v>
      </c>
      <c r="B286" s="22"/>
      <c r="C286" s="25">
        <f>ROUND(12.295,4)</f>
        <v>12.295</v>
      </c>
      <c r="D286" s="25">
        <f>F286</f>
        <v>12.499</v>
      </c>
      <c r="E286" s="25">
        <f>F286</f>
        <v>12.499</v>
      </c>
      <c r="F286" s="25">
        <f>ROUND(12.499,4)</f>
        <v>12.499</v>
      </c>
      <c r="G286" s="24"/>
      <c r="H286" s="36"/>
    </row>
    <row r="287" spans="1:8" ht="12.75" customHeight="1">
      <c r="A287" s="22">
        <v>43220</v>
      </c>
      <c r="B287" s="22"/>
      <c r="C287" s="25">
        <f>ROUND(12.295,4)</f>
        <v>12.295</v>
      </c>
      <c r="D287" s="25">
        <f>F287</f>
        <v>12.5079</v>
      </c>
      <c r="E287" s="25">
        <f>F287</f>
        <v>12.5079</v>
      </c>
      <c r="F287" s="25">
        <f>ROUND(12.5079,4)</f>
        <v>12.5079</v>
      </c>
      <c r="G287" s="24"/>
      <c r="H287" s="36"/>
    </row>
    <row r="288" spans="1:8" ht="12.75" customHeight="1">
      <c r="A288" s="22">
        <v>43229</v>
      </c>
      <c r="B288" s="22"/>
      <c r="C288" s="25">
        <f>ROUND(12.295,4)</f>
        <v>12.295</v>
      </c>
      <c r="D288" s="25">
        <f>F288</f>
        <v>12.524</v>
      </c>
      <c r="E288" s="25">
        <f>F288</f>
        <v>12.524</v>
      </c>
      <c r="F288" s="25">
        <f>ROUND(12.524,4)</f>
        <v>12.524</v>
      </c>
      <c r="G288" s="24"/>
      <c r="H288" s="36"/>
    </row>
    <row r="289" spans="1:8" ht="12.75" customHeight="1">
      <c r="A289" s="22">
        <v>43231</v>
      </c>
      <c r="B289" s="22"/>
      <c r="C289" s="25">
        <f>ROUND(12.295,4)</f>
        <v>12.295</v>
      </c>
      <c r="D289" s="25">
        <f>F289</f>
        <v>12.5276</v>
      </c>
      <c r="E289" s="25">
        <f>F289</f>
        <v>12.5276</v>
      </c>
      <c r="F289" s="25">
        <f>ROUND(12.5276,4)</f>
        <v>12.5276</v>
      </c>
      <c r="G289" s="24"/>
      <c r="H289" s="36"/>
    </row>
    <row r="290" spans="1:8" ht="12.75" customHeight="1">
      <c r="A290" s="22">
        <v>43234</v>
      </c>
      <c r="B290" s="22"/>
      <c r="C290" s="25">
        <f>ROUND(12.295,4)</f>
        <v>12.295</v>
      </c>
      <c r="D290" s="25">
        <f>F290</f>
        <v>12.533</v>
      </c>
      <c r="E290" s="25">
        <f>F290</f>
        <v>12.533</v>
      </c>
      <c r="F290" s="25">
        <f>ROUND(12.533,4)</f>
        <v>12.533</v>
      </c>
      <c r="G290" s="24"/>
      <c r="H290" s="36"/>
    </row>
    <row r="291" spans="1:8" ht="12.75" customHeight="1">
      <c r="A291" s="22">
        <v>43235</v>
      </c>
      <c r="B291" s="22"/>
      <c r="C291" s="25">
        <f>ROUND(12.295,4)</f>
        <v>12.295</v>
      </c>
      <c r="D291" s="25">
        <f>F291</f>
        <v>12.5348</v>
      </c>
      <c r="E291" s="25">
        <f>F291</f>
        <v>12.5348</v>
      </c>
      <c r="F291" s="25">
        <f>ROUND(12.5348,4)</f>
        <v>12.5348</v>
      </c>
      <c r="G291" s="24"/>
      <c r="H291" s="36"/>
    </row>
    <row r="292" spans="1:8" ht="12.75" customHeight="1">
      <c r="A292" s="22">
        <v>43251</v>
      </c>
      <c r="B292" s="22"/>
      <c r="C292" s="25">
        <f>ROUND(12.295,4)</f>
        <v>12.295</v>
      </c>
      <c r="D292" s="25">
        <f>F292</f>
        <v>12.5634</v>
      </c>
      <c r="E292" s="25">
        <f>F292</f>
        <v>12.5634</v>
      </c>
      <c r="F292" s="25">
        <f>ROUND(12.5634,4)</f>
        <v>12.5634</v>
      </c>
      <c r="G292" s="24"/>
      <c r="H292" s="36"/>
    </row>
    <row r="293" spans="1:8" ht="12.75" customHeight="1">
      <c r="A293" s="22">
        <v>43280</v>
      </c>
      <c r="B293" s="22"/>
      <c r="C293" s="25">
        <f>ROUND(12.295,4)</f>
        <v>12.295</v>
      </c>
      <c r="D293" s="25">
        <f>F293</f>
        <v>12.6153</v>
      </c>
      <c r="E293" s="25">
        <f>F293</f>
        <v>12.6153</v>
      </c>
      <c r="F293" s="25">
        <f>ROUND(12.6153,4)</f>
        <v>12.6153</v>
      </c>
      <c r="G293" s="24"/>
      <c r="H293" s="36"/>
    </row>
    <row r="294" spans="1:8" ht="12.75" customHeight="1">
      <c r="A294" s="22">
        <v>43283</v>
      </c>
      <c r="B294" s="22"/>
      <c r="C294" s="25">
        <f>ROUND(12.295,4)</f>
        <v>12.295</v>
      </c>
      <c r="D294" s="25">
        <f>F294</f>
        <v>12.6207</v>
      </c>
      <c r="E294" s="25">
        <f>F294</f>
        <v>12.6207</v>
      </c>
      <c r="F294" s="25">
        <f>ROUND(12.6207,4)</f>
        <v>12.6207</v>
      </c>
      <c r="G294" s="24"/>
      <c r="H294" s="36"/>
    </row>
    <row r="295" spans="1:8" ht="12.75" customHeight="1">
      <c r="A295" s="22">
        <v>43301</v>
      </c>
      <c r="B295" s="22"/>
      <c r="C295" s="25">
        <f>ROUND(12.295,4)</f>
        <v>12.295</v>
      </c>
      <c r="D295" s="25">
        <f>F295</f>
        <v>12.6524</v>
      </c>
      <c r="E295" s="25">
        <f>F295</f>
        <v>12.6524</v>
      </c>
      <c r="F295" s="25">
        <f>ROUND(12.6524,4)</f>
        <v>12.6524</v>
      </c>
      <c r="G295" s="24"/>
      <c r="H295" s="36"/>
    </row>
    <row r="296" spans="1:8" ht="12.75" customHeight="1">
      <c r="A296" s="22">
        <v>43305</v>
      </c>
      <c r="B296" s="22"/>
      <c r="C296" s="25">
        <f>ROUND(12.295,4)</f>
        <v>12.295</v>
      </c>
      <c r="D296" s="25">
        <f>F296</f>
        <v>12.6594</v>
      </c>
      <c r="E296" s="25">
        <f>F296</f>
        <v>12.6594</v>
      </c>
      <c r="F296" s="25">
        <f>ROUND(12.6594,4)</f>
        <v>12.6594</v>
      </c>
      <c r="G296" s="24"/>
      <c r="H296" s="36"/>
    </row>
    <row r="297" spans="1:8" ht="12.75" customHeight="1">
      <c r="A297" s="22">
        <v>43306</v>
      </c>
      <c r="B297" s="22"/>
      <c r="C297" s="25">
        <f>ROUND(12.295,4)</f>
        <v>12.295</v>
      </c>
      <c r="D297" s="25">
        <f>F297</f>
        <v>12.6612</v>
      </c>
      <c r="E297" s="25">
        <f>F297</f>
        <v>12.6612</v>
      </c>
      <c r="F297" s="25">
        <f>ROUND(12.6612,4)</f>
        <v>12.6612</v>
      </c>
      <c r="G297" s="24"/>
      <c r="H297" s="36"/>
    </row>
    <row r="298" spans="1:8" ht="12.75" customHeight="1">
      <c r="A298" s="22">
        <v>43312</v>
      </c>
      <c r="B298" s="22"/>
      <c r="C298" s="25">
        <f>ROUND(12.295,4)</f>
        <v>12.295</v>
      </c>
      <c r="D298" s="25">
        <f>F298</f>
        <v>12.6718</v>
      </c>
      <c r="E298" s="25">
        <f>F298</f>
        <v>12.6718</v>
      </c>
      <c r="F298" s="25">
        <f>ROUND(12.6718,4)</f>
        <v>12.6718</v>
      </c>
      <c r="G298" s="24"/>
      <c r="H298" s="36"/>
    </row>
    <row r="299" spans="1:8" ht="12.75" customHeight="1">
      <c r="A299" s="22">
        <v>43319</v>
      </c>
      <c r="B299" s="22"/>
      <c r="C299" s="25">
        <f>ROUND(12.295,4)</f>
        <v>12.295</v>
      </c>
      <c r="D299" s="25">
        <f>F299</f>
        <v>12.6841</v>
      </c>
      <c r="E299" s="25">
        <f>F299</f>
        <v>12.6841</v>
      </c>
      <c r="F299" s="25">
        <f>ROUND(12.6841,4)</f>
        <v>12.6841</v>
      </c>
      <c r="G299" s="24"/>
      <c r="H299" s="36"/>
    </row>
    <row r="300" spans="1:8" ht="12.75" customHeight="1">
      <c r="A300" s="22">
        <v>43325</v>
      </c>
      <c r="B300" s="22"/>
      <c r="C300" s="25">
        <f>ROUND(12.295,4)</f>
        <v>12.295</v>
      </c>
      <c r="D300" s="25">
        <f>F300</f>
        <v>12.6947</v>
      </c>
      <c r="E300" s="25">
        <f>F300</f>
        <v>12.6947</v>
      </c>
      <c r="F300" s="25">
        <f>ROUND(12.6947,4)</f>
        <v>12.6947</v>
      </c>
      <c r="G300" s="24"/>
      <c r="H300" s="36"/>
    </row>
    <row r="301" spans="1:8" ht="12.75" customHeight="1">
      <c r="A301" s="22">
        <v>43343</v>
      </c>
      <c r="B301" s="22"/>
      <c r="C301" s="25">
        <f>ROUND(12.295,4)</f>
        <v>12.295</v>
      </c>
      <c r="D301" s="25">
        <f>F301</f>
        <v>12.7264</v>
      </c>
      <c r="E301" s="25">
        <f>F301</f>
        <v>12.7264</v>
      </c>
      <c r="F301" s="25">
        <f>ROUND(12.7264,4)</f>
        <v>12.7264</v>
      </c>
      <c r="G301" s="24"/>
      <c r="H301" s="36"/>
    </row>
    <row r="302" spans="1:8" ht="12.75" customHeight="1">
      <c r="A302" s="22">
        <v>43371</v>
      </c>
      <c r="B302" s="22"/>
      <c r="C302" s="25">
        <f>ROUND(12.295,4)</f>
        <v>12.295</v>
      </c>
      <c r="D302" s="25">
        <f>F302</f>
        <v>12.7757</v>
      </c>
      <c r="E302" s="25">
        <f>F302</f>
        <v>12.7757</v>
      </c>
      <c r="F302" s="25">
        <f>ROUND(12.7757,4)</f>
        <v>12.7757</v>
      </c>
      <c r="G302" s="24"/>
      <c r="H302" s="36"/>
    </row>
    <row r="303" spans="1:8" ht="12.75" customHeight="1">
      <c r="A303" s="22">
        <v>43398</v>
      </c>
      <c r="B303" s="22"/>
      <c r="C303" s="25">
        <f>ROUND(12.295,4)</f>
        <v>12.295</v>
      </c>
      <c r="D303" s="25">
        <f>F303</f>
        <v>12.8225</v>
      </c>
      <c r="E303" s="25">
        <f>F303</f>
        <v>12.8225</v>
      </c>
      <c r="F303" s="25">
        <f>ROUND(12.8225,4)</f>
        <v>12.8225</v>
      </c>
      <c r="G303" s="24"/>
      <c r="H303" s="36"/>
    </row>
    <row r="304" spans="1:8" ht="12.75" customHeight="1">
      <c r="A304" s="22">
        <v>43402</v>
      </c>
      <c r="B304" s="22"/>
      <c r="C304" s="25">
        <f>ROUND(12.295,4)</f>
        <v>12.295</v>
      </c>
      <c r="D304" s="25">
        <f>F304</f>
        <v>12.8294</v>
      </c>
      <c r="E304" s="25">
        <f>F304</f>
        <v>12.8294</v>
      </c>
      <c r="F304" s="25">
        <f>ROUND(12.8294,4)</f>
        <v>12.8294</v>
      </c>
      <c r="G304" s="24"/>
      <c r="H304" s="36"/>
    </row>
    <row r="305" spans="1:8" ht="12.75" customHeight="1">
      <c r="A305" s="22">
        <v>43404</v>
      </c>
      <c r="B305" s="22"/>
      <c r="C305" s="25">
        <f>ROUND(12.295,4)</f>
        <v>12.295</v>
      </c>
      <c r="D305" s="25">
        <f>F305</f>
        <v>12.8328</v>
      </c>
      <c r="E305" s="25">
        <f>F305</f>
        <v>12.8328</v>
      </c>
      <c r="F305" s="25">
        <f>ROUND(12.8328,4)</f>
        <v>12.8328</v>
      </c>
      <c r="G305" s="24"/>
      <c r="H305" s="36"/>
    </row>
    <row r="306" spans="1:8" ht="12.75" customHeight="1">
      <c r="A306" s="22">
        <v>43409</v>
      </c>
      <c r="B306" s="22"/>
      <c r="C306" s="25">
        <f>ROUND(12.295,4)</f>
        <v>12.295</v>
      </c>
      <c r="D306" s="25">
        <f>F306</f>
        <v>12.8415</v>
      </c>
      <c r="E306" s="25">
        <f>F306</f>
        <v>12.8415</v>
      </c>
      <c r="F306" s="25">
        <f>ROUND(12.8415,4)</f>
        <v>12.8415</v>
      </c>
      <c r="G306" s="24"/>
      <c r="H306" s="36"/>
    </row>
    <row r="307" spans="1:8" ht="12.75" customHeight="1">
      <c r="A307" s="22">
        <v>43417</v>
      </c>
      <c r="B307" s="22"/>
      <c r="C307" s="25">
        <f>ROUND(12.295,4)</f>
        <v>12.295</v>
      </c>
      <c r="D307" s="25">
        <f>F307</f>
        <v>12.8553</v>
      </c>
      <c r="E307" s="25">
        <f>F307</f>
        <v>12.8553</v>
      </c>
      <c r="F307" s="25">
        <f>ROUND(12.8553,4)</f>
        <v>12.8553</v>
      </c>
      <c r="G307" s="24"/>
      <c r="H307" s="36"/>
    </row>
    <row r="308" spans="1:8" ht="12.75" customHeight="1">
      <c r="A308" s="22">
        <v>43434</v>
      </c>
      <c r="B308" s="22"/>
      <c r="C308" s="25">
        <f>ROUND(12.295,4)</f>
        <v>12.295</v>
      </c>
      <c r="D308" s="25">
        <f>F308</f>
        <v>12.8846</v>
      </c>
      <c r="E308" s="25">
        <f>F308</f>
        <v>12.8846</v>
      </c>
      <c r="F308" s="25">
        <f>ROUND(12.8846,4)</f>
        <v>12.8846</v>
      </c>
      <c r="G308" s="24"/>
      <c r="H308" s="36"/>
    </row>
    <row r="309" spans="1:8" ht="12.75" customHeight="1">
      <c r="A309" s="22">
        <v>43445</v>
      </c>
      <c r="B309" s="22"/>
      <c r="C309" s="25">
        <f>ROUND(12.295,4)</f>
        <v>12.295</v>
      </c>
      <c r="D309" s="25">
        <f>F309</f>
        <v>12.9036</v>
      </c>
      <c r="E309" s="25">
        <f>F309</f>
        <v>12.9036</v>
      </c>
      <c r="F309" s="25">
        <f>ROUND(12.9036,4)</f>
        <v>12.9036</v>
      </c>
      <c r="G309" s="24"/>
      <c r="H309" s="36"/>
    </row>
    <row r="310" spans="1:8" ht="12.75" customHeight="1">
      <c r="A310" s="22">
        <v>43465</v>
      </c>
      <c r="B310" s="22"/>
      <c r="C310" s="25">
        <f>ROUND(12.295,4)</f>
        <v>12.295</v>
      </c>
      <c r="D310" s="25">
        <f>F310</f>
        <v>12.9381</v>
      </c>
      <c r="E310" s="25">
        <f>F310</f>
        <v>12.9381</v>
      </c>
      <c r="F310" s="25">
        <f>ROUND(12.9381,4)</f>
        <v>12.9381</v>
      </c>
      <c r="G310" s="24"/>
      <c r="H310" s="36"/>
    </row>
    <row r="311" spans="1:8" ht="12.75" customHeight="1">
      <c r="A311" s="22">
        <v>43509</v>
      </c>
      <c r="B311" s="22"/>
      <c r="C311" s="25">
        <f>ROUND(12.295,4)</f>
        <v>12.295</v>
      </c>
      <c r="D311" s="25">
        <f>F311</f>
        <v>13.019</v>
      </c>
      <c r="E311" s="25">
        <f>F311</f>
        <v>13.019</v>
      </c>
      <c r="F311" s="25">
        <f>ROUND(13.019,4)</f>
        <v>13.019</v>
      </c>
      <c r="G311" s="24"/>
      <c r="H311" s="36"/>
    </row>
    <row r="312" spans="1:8" ht="12.75" customHeight="1">
      <c r="A312" s="22">
        <v>44040</v>
      </c>
      <c r="B312" s="22"/>
      <c r="C312" s="25">
        <f>ROUND(12.295,4)</f>
        <v>12.295</v>
      </c>
      <c r="D312" s="25">
        <f>F312</f>
        <v>14.0588</v>
      </c>
      <c r="E312" s="25">
        <f>F312</f>
        <v>14.0588</v>
      </c>
      <c r="F312" s="25">
        <f>ROUND(14.0588,4)</f>
        <v>14.0588</v>
      </c>
      <c r="G312" s="24"/>
      <c r="H312" s="36"/>
    </row>
    <row r="313" spans="1:8" ht="12.75" customHeight="1">
      <c r="A313" s="22" t="s">
        <v>65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43178</v>
      </c>
      <c r="B314" s="22"/>
      <c r="C314" s="25">
        <f>ROUND(1.1985,4)</f>
        <v>1.1985</v>
      </c>
      <c r="D314" s="25">
        <f>F314</f>
        <v>1.2039</v>
      </c>
      <c r="E314" s="25">
        <f>F314</f>
        <v>1.2039</v>
      </c>
      <c r="F314" s="25">
        <f>ROUND(1.2039,4)</f>
        <v>1.2039</v>
      </c>
      <c r="G314" s="24"/>
      <c r="H314" s="36"/>
    </row>
    <row r="315" spans="1:8" ht="12.75" customHeight="1">
      <c r="A315" s="22">
        <v>43269</v>
      </c>
      <c r="B315" s="22"/>
      <c r="C315" s="25">
        <f>ROUND(1.1985,4)</f>
        <v>1.1985</v>
      </c>
      <c r="D315" s="25">
        <f>F315</f>
        <v>1.2111</v>
      </c>
      <c r="E315" s="25">
        <f>F315</f>
        <v>1.2111</v>
      </c>
      <c r="F315" s="25">
        <f>ROUND(1.2111,4)</f>
        <v>1.2111</v>
      </c>
      <c r="G315" s="24"/>
      <c r="H315" s="36"/>
    </row>
    <row r="316" spans="1:8" ht="12.75" customHeight="1">
      <c r="A316" s="22">
        <v>43360</v>
      </c>
      <c r="B316" s="22"/>
      <c r="C316" s="25">
        <f>ROUND(1.1985,4)</f>
        <v>1.1985</v>
      </c>
      <c r="D316" s="25">
        <f>F316</f>
        <v>1.2187</v>
      </c>
      <c r="E316" s="25">
        <f>F316</f>
        <v>1.2187</v>
      </c>
      <c r="F316" s="25">
        <f>ROUND(1.2187,4)</f>
        <v>1.2187</v>
      </c>
      <c r="G316" s="24"/>
      <c r="H316" s="36"/>
    </row>
    <row r="317" spans="1:8" ht="12.75" customHeight="1">
      <c r="A317" s="22">
        <v>43448</v>
      </c>
      <c r="B317" s="22"/>
      <c r="C317" s="25">
        <f>ROUND(1.1985,4)</f>
        <v>1.1985</v>
      </c>
      <c r="D317" s="25">
        <f>F317</f>
        <v>1.2267</v>
      </c>
      <c r="E317" s="25">
        <f>F317</f>
        <v>1.2267</v>
      </c>
      <c r="F317" s="25">
        <f>ROUND(1.2267,4)</f>
        <v>1.2267</v>
      </c>
      <c r="G317" s="24"/>
      <c r="H317" s="36"/>
    </row>
    <row r="318" spans="1:8" ht="12.75" customHeight="1">
      <c r="A318" s="22" t="s">
        <v>66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43178</v>
      </c>
      <c r="B319" s="22"/>
      <c r="C319" s="25">
        <f>ROUND(1.3505625,4)</f>
        <v>1.3506</v>
      </c>
      <c r="D319" s="25">
        <f>F319</f>
        <v>1.3538</v>
      </c>
      <c r="E319" s="25">
        <f>F319</f>
        <v>1.3538</v>
      </c>
      <c r="F319" s="25">
        <f>ROUND(1.3538,4)</f>
        <v>1.3538</v>
      </c>
      <c r="G319" s="24"/>
      <c r="H319" s="36"/>
    </row>
    <row r="320" spans="1:8" ht="12.75" customHeight="1">
      <c r="A320" s="22">
        <v>43269</v>
      </c>
      <c r="B320" s="22"/>
      <c r="C320" s="25">
        <f>ROUND(1.3505625,4)</f>
        <v>1.3506</v>
      </c>
      <c r="D320" s="25">
        <f>F320</f>
        <v>1.3583</v>
      </c>
      <c r="E320" s="25">
        <f>F320</f>
        <v>1.3583</v>
      </c>
      <c r="F320" s="25">
        <f>ROUND(1.3583,4)</f>
        <v>1.3583</v>
      </c>
      <c r="G320" s="24"/>
      <c r="H320" s="36"/>
    </row>
    <row r="321" spans="1:8" ht="12.75" customHeight="1">
      <c r="A321" s="22">
        <v>43360</v>
      </c>
      <c r="B321" s="22"/>
      <c r="C321" s="25">
        <f>ROUND(1.3505625,4)</f>
        <v>1.3506</v>
      </c>
      <c r="D321" s="25">
        <f>F321</f>
        <v>1.363</v>
      </c>
      <c r="E321" s="25">
        <f>F321</f>
        <v>1.363</v>
      </c>
      <c r="F321" s="25">
        <f>ROUND(1.363,4)</f>
        <v>1.363</v>
      </c>
      <c r="G321" s="24"/>
      <c r="H321" s="36"/>
    </row>
    <row r="322" spans="1:8" ht="12.75" customHeight="1">
      <c r="A322" s="22">
        <v>43448</v>
      </c>
      <c r="B322" s="22"/>
      <c r="C322" s="25">
        <f>ROUND(1.3505625,4)</f>
        <v>1.3506</v>
      </c>
      <c r="D322" s="25">
        <f>F322</f>
        <v>1.3678</v>
      </c>
      <c r="E322" s="25">
        <f>F322</f>
        <v>1.3678</v>
      </c>
      <c r="F322" s="25">
        <f>ROUND(1.3678,4)</f>
        <v>1.3678</v>
      </c>
      <c r="G322" s="24"/>
      <c r="H322" s="36"/>
    </row>
    <row r="323" spans="1:8" ht="12.75" customHeight="1">
      <c r="A323" s="22" t="s">
        <v>67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43178</v>
      </c>
      <c r="B324" s="22"/>
      <c r="C324" s="25">
        <f>ROUND(9.6040855625,4)</f>
        <v>9.6041</v>
      </c>
      <c r="D324" s="25">
        <f>F324</f>
        <v>9.71</v>
      </c>
      <c r="E324" s="25">
        <f>F324</f>
        <v>9.71</v>
      </c>
      <c r="F324" s="25">
        <f>ROUND(9.71,4)</f>
        <v>9.71</v>
      </c>
      <c r="G324" s="24"/>
      <c r="H324" s="36"/>
    </row>
    <row r="325" spans="1:8" ht="12.75" customHeight="1">
      <c r="A325" s="22">
        <v>43269</v>
      </c>
      <c r="B325" s="22"/>
      <c r="C325" s="25">
        <f>ROUND(9.6040855625,4)</f>
        <v>9.6041</v>
      </c>
      <c r="D325" s="25">
        <f>F325</f>
        <v>9.8358</v>
      </c>
      <c r="E325" s="25">
        <f>F325</f>
        <v>9.8358</v>
      </c>
      <c r="F325" s="25">
        <f>ROUND(9.8358,4)</f>
        <v>9.8358</v>
      </c>
      <c r="G325" s="24"/>
      <c r="H325" s="36"/>
    </row>
    <row r="326" spans="1:8" ht="12.75" customHeight="1">
      <c r="A326" s="22">
        <v>43360</v>
      </c>
      <c r="B326" s="22"/>
      <c r="C326" s="25">
        <f>ROUND(9.6040855625,4)</f>
        <v>9.6041</v>
      </c>
      <c r="D326" s="25">
        <f>F326</f>
        <v>9.9617</v>
      </c>
      <c r="E326" s="25">
        <f>F326</f>
        <v>9.9617</v>
      </c>
      <c r="F326" s="25">
        <f>ROUND(9.9617,4)</f>
        <v>9.9617</v>
      </c>
      <c r="G326" s="24"/>
      <c r="H326" s="36"/>
    </row>
    <row r="327" spans="1:8" ht="12.75" customHeight="1">
      <c r="A327" s="22">
        <v>43448</v>
      </c>
      <c r="B327" s="22"/>
      <c r="C327" s="25">
        <f>ROUND(9.6040855625,4)</f>
        <v>9.6041</v>
      </c>
      <c r="D327" s="25">
        <f>F327</f>
        <v>10.0802</v>
      </c>
      <c r="E327" s="25">
        <f>F327</f>
        <v>10.0802</v>
      </c>
      <c r="F327" s="25">
        <f>ROUND(10.0802,4)</f>
        <v>10.0802</v>
      </c>
      <c r="G327" s="24"/>
      <c r="H327" s="36"/>
    </row>
    <row r="328" spans="1:8" ht="12.75" customHeight="1">
      <c r="A328" s="22">
        <v>43542</v>
      </c>
      <c r="B328" s="22"/>
      <c r="C328" s="25">
        <f>ROUND(9.6040855625,4)</f>
        <v>9.6041</v>
      </c>
      <c r="D328" s="25">
        <f>F328</f>
        <v>10.2148</v>
      </c>
      <c r="E328" s="25">
        <f>F328</f>
        <v>10.2148</v>
      </c>
      <c r="F328" s="25">
        <f>ROUND(10.2148,4)</f>
        <v>10.2148</v>
      </c>
      <c r="G328" s="24"/>
      <c r="H328" s="36"/>
    </row>
    <row r="329" spans="1:8" ht="12.75" customHeight="1">
      <c r="A329" s="22">
        <v>43630</v>
      </c>
      <c r="B329" s="22"/>
      <c r="C329" s="25">
        <f>ROUND(9.6040855625,4)</f>
        <v>9.6041</v>
      </c>
      <c r="D329" s="25">
        <f>F329</f>
        <v>10.3405</v>
      </c>
      <c r="E329" s="25">
        <f>F329</f>
        <v>10.3405</v>
      </c>
      <c r="F329" s="25">
        <f>ROUND(10.3405,4)</f>
        <v>10.3405</v>
      </c>
      <c r="G329" s="24"/>
      <c r="H329" s="36"/>
    </row>
    <row r="330" spans="1:8" ht="12.75" customHeight="1">
      <c r="A330" s="22">
        <v>43724</v>
      </c>
      <c r="B330" s="22"/>
      <c r="C330" s="25">
        <f>ROUND(9.6040855625,4)</f>
        <v>9.6041</v>
      </c>
      <c r="D330" s="25">
        <f>F330</f>
        <v>10.4728</v>
      </c>
      <c r="E330" s="25">
        <f>F330</f>
        <v>10.4728</v>
      </c>
      <c r="F330" s="25">
        <f>ROUND(10.4728,4)</f>
        <v>10.4728</v>
      </c>
      <c r="G330" s="24"/>
      <c r="H330" s="36"/>
    </row>
    <row r="331" spans="1:8" ht="12.75" customHeight="1">
      <c r="A331" s="22">
        <v>43812</v>
      </c>
      <c r="B331" s="22"/>
      <c r="C331" s="25">
        <f>ROUND(9.6040855625,4)</f>
        <v>9.6041</v>
      </c>
      <c r="D331" s="25">
        <f>F331</f>
        <v>10.5935</v>
      </c>
      <c r="E331" s="25">
        <f>F331</f>
        <v>10.5935</v>
      </c>
      <c r="F331" s="25">
        <f>ROUND(10.5935,4)</f>
        <v>10.5935</v>
      </c>
      <c r="G331" s="24"/>
      <c r="H331" s="36"/>
    </row>
    <row r="332" spans="1:8" ht="12.75" customHeight="1">
      <c r="A332" s="22" t="s">
        <v>68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43178</v>
      </c>
      <c r="B333" s="22"/>
      <c r="C333" s="25">
        <f>ROUND(3.34717212277955,4)</f>
        <v>3.3472</v>
      </c>
      <c r="D333" s="25">
        <f>F333</f>
        <v>3.6523</v>
      </c>
      <c r="E333" s="25">
        <f>F333</f>
        <v>3.6523</v>
      </c>
      <c r="F333" s="25">
        <f>ROUND(3.6523,4)</f>
        <v>3.6523</v>
      </c>
      <c r="G333" s="24"/>
      <c r="H333" s="36"/>
    </row>
    <row r="334" spans="1:8" ht="12.75" customHeight="1">
      <c r="A334" s="22">
        <v>43269</v>
      </c>
      <c r="B334" s="22"/>
      <c r="C334" s="25">
        <f>ROUND(3.34717212277955,4)</f>
        <v>3.3472</v>
      </c>
      <c r="D334" s="25">
        <f>F334</f>
        <v>3.6965</v>
      </c>
      <c r="E334" s="25">
        <f>F334</f>
        <v>3.6965</v>
      </c>
      <c r="F334" s="25">
        <f>ROUND(3.6965,4)</f>
        <v>3.6965</v>
      </c>
      <c r="G334" s="24"/>
      <c r="H334" s="36"/>
    </row>
    <row r="335" spans="1:8" ht="12.75" customHeight="1">
      <c r="A335" s="22">
        <v>43360</v>
      </c>
      <c r="B335" s="22"/>
      <c r="C335" s="25">
        <f>ROUND(3.34717212277955,4)</f>
        <v>3.3472</v>
      </c>
      <c r="D335" s="25">
        <f>F335</f>
        <v>3.7495</v>
      </c>
      <c r="E335" s="25">
        <f>F335</f>
        <v>3.7495</v>
      </c>
      <c r="F335" s="25">
        <f>ROUND(3.7495,4)</f>
        <v>3.7495</v>
      </c>
      <c r="G335" s="24"/>
      <c r="H335" s="36"/>
    </row>
    <row r="336" spans="1:8" ht="12.75" customHeight="1">
      <c r="A336" s="22" t="s">
        <v>69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43178</v>
      </c>
      <c r="B337" s="22"/>
      <c r="C337" s="25">
        <f>ROUND(1.251631,4)</f>
        <v>1.2516</v>
      </c>
      <c r="D337" s="25">
        <f>F337</f>
        <v>1.2589</v>
      </c>
      <c r="E337" s="25">
        <f>F337</f>
        <v>1.2589</v>
      </c>
      <c r="F337" s="25">
        <f>ROUND(1.2589,4)</f>
        <v>1.2589</v>
      </c>
      <c r="G337" s="24"/>
      <c r="H337" s="36"/>
    </row>
    <row r="338" spans="1:8" ht="12.75" customHeight="1">
      <c r="A338" s="22">
        <v>43269</v>
      </c>
      <c r="B338" s="22"/>
      <c r="C338" s="25">
        <f>ROUND(1.251631,4)</f>
        <v>1.2516</v>
      </c>
      <c r="D338" s="25">
        <f>F338</f>
        <v>1.2673</v>
      </c>
      <c r="E338" s="25">
        <f>F338</f>
        <v>1.2673</v>
      </c>
      <c r="F338" s="25">
        <f>ROUND(1.2673,4)</f>
        <v>1.2673</v>
      </c>
      <c r="G338" s="24"/>
      <c r="H338" s="36"/>
    </row>
    <row r="339" spans="1:8" ht="12.75" customHeight="1">
      <c r="A339" s="22">
        <v>43360</v>
      </c>
      <c r="B339" s="22"/>
      <c r="C339" s="25">
        <f>ROUND(1.251631,4)</f>
        <v>1.2516</v>
      </c>
      <c r="D339" s="25">
        <f>F339</f>
        <v>1.2757</v>
      </c>
      <c r="E339" s="25">
        <f>F339</f>
        <v>1.2757</v>
      </c>
      <c r="F339" s="25">
        <f>ROUND(1.2757,4)</f>
        <v>1.2757</v>
      </c>
      <c r="G339" s="24"/>
      <c r="H339" s="36"/>
    </row>
    <row r="340" spans="1:8" ht="12.75" customHeight="1">
      <c r="A340" s="22">
        <v>43448</v>
      </c>
      <c r="B340" s="22"/>
      <c r="C340" s="25">
        <f>ROUND(1.251631,4)</f>
        <v>1.2516</v>
      </c>
      <c r="D340" s="25">
        <f>F340</f>
        <v>1.3014</v>
      </c>
      <c r="E340" s="25">
        <f>F340</f>
        <v>1.3014</v>
      </c>
      <c r="F340" s="25">
        <f>ROUND(1.3014,4)</f>
        <v>1.3014</v>
      </c>
      <c r="G340" s="24"/>
      <c r="H340" s="36"/>
    </row>
    <row r="341" spans="1:8" ht="12.75" customHeight="1">
      <c r="A341" s="22">
        <v>43542</v>
      </c>
      <c r="B341" s="22"/>
      <c r="C341" s="25">
        <f>ROUND(1.251631,4)</f>
        <v>1.2516</v>
      </c>
      <c r="D341" s="25">
        <f>F341</f>
        <v>1.3732</v>
      </c>
      <c r="E341" s="25">
        <f>F341</f>
        <v>1.3732</v>
      </c>
      <c r="F341" s="25">
        <f>ROUND(1.3732,4)</f>
        <v>1.3732</v>
      </c>
      <c r="G341" s="24"/>
      <c r="H341" s="36"/>
    </row>
    <row r="342" spans="1:8" ht="12.75" customHeight="1">
      <c r="A342" s="22">
        <v>43630</v>
      </c>
      <c r="B342" s="22"/>
      <c r="C342" s="25">
        <f>ROUND(1.251631,4)</f>
        <v>1.2516</v>
      </c>
      <c r="D342" s="25">
        <f>F342</f>
        <v>1.3751</v>
      </c>
      <c r="E342" s="25">
        <f>F342</f>
        <v>1.3751</v>
      </c>
      <c r="F342" s="25">
        <f>ROUND(1.3751,4)</f>
        <v>1.3751</v>
      </c>
      <c r="G342" s="24"/>
      <c r="H342" s="36"/>
    </row>
    <row r="343" spans="1:8" ht="12.75" customHeight="1">
      <c r="A343" s="22">
        <v>43724</v>
      </c>
      <c r="B343" s="22"/>
      <c r="C343" s="25">
        <f>ROUND(1.251631,4)</f>
        <v>1.2516</v>
      </c>
      <c r="D343" s="25">
        <f>F343</f>
        <v>1.3701</v>
      </c>
      <c r="E343" s="25">
        <f>F343</f>
        <v>1.3701</v>
      </c>
      <c r="F343" s="25">
        <f>ROUND(1.3701,4)</f>
        <v>1.3701</v>
      </c>
      <c r="G343" s="24"/>
      <c r="H343" s="36"/>
    </row>
    <row r="344" spans="1:8" ht="12.75" customHeight="1">
      <c r="A344" s="22">
        <v>43812</v>
      </c>
      <c r="B344" s="22"/>
      <c r="C344" s="25">
        <f>ROUND(1.251631,4)</f>
        <v>1.2516</v>
      </c>
      <c r="D344" s="25">
        <f>F344</f>
        <v>1.3672</v>
      </c>
      <c r="E344" s="25">
        <f>F344</f>
        <v>1.3672</v>
      </c>
      <c r="F344" s="25">
        <f>ROUND(1.3672,4)</f>
        <v>1.3672</v>
      </c>
      <c r="G344" s="24"/>
      <c r="H344" s="36"/>
    </row>
    <row r="345" spans="1:8" ht="12.75" customHeight="1">
      <c r="A345" s="22" t="s">
        <v>70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43178</v>
      </c>
      <c r="B346" s="22"/>
      <c r="C346" s="25">
        <f>ROUND(9.80345253757525,4)</f>
        <v>9.8035</v>
      </c>
      <c r="D346" s="25">
        <f>F346</f>
        <v>9.9233</v>
      </c>
      <c r="E346" s="25">
        <f>F346</f>
        <v>9.9233</v>
      </c>
      <c r="F346" s="25">
        <f>ROUND(9.9233,4)</f>
        <v>9.9233</v>
      </c>
      <c r="G346" s="24"/>
      <c r="H346" s="36"/>
    </row>
    <row r="347" spans="1:8" ht="12.75" customHeight="1">
      <c r="A347" s="22">
        <v>43269</v>
      </c>
      <c r="B347" s="22"/>
      <c r="C347" s="25">
        <f>ROUND(9.80345253757525,4)</f>
        <v>9.8035</v>
      </c>
      <c r="D347" s="25">
        <f>F347</f>
        <v>10.0623</v>
      </c>
      <c r="E347" s="25">
        <f>F347</f>
        <v>10.0623</v>
      </c>
      <c r="F347" s="25">
        <f>ROUND(10.0623,4)</f>
        <v>10.0623</v>
      </c>
      <c r="G347" s="24"/>
      <c r="H347" s="36"/>
    </row>
    <row r="348" spans="1:8" ht="12.75" customHeight="1">
      <c r="A348" s="22">
        <v>43360</v>
      </c>
      <c r="B348" s="22"/>
      <c r="C348" s="25">
        <f>ROUND(9.80345253757525,4)</f>
        <v>9.8035</v>
      </c>
      <c r="D348" s="25">
        <f>F348</f>
        <v>10.1974</v>
      </c>
      <c r="E348" s="25">
        <f>F348</f>
        <v>10.1974</v>
      </c>
      <c r="F348" s="25">
        <f>ROUND(10.1974,4)</f>
        <v>10.1974</v>
      </c>
      <c r="G348" s="24"/>
      <c r="H348" s="36"/>
    </row>
    <row r="349" spans="1:8" ht="12.75" customHeight="1">
      <c r="A349" s="22">
        <v>43448</v>
      </c>
      <c r="B349" s="22"/>
      <c r="C349" s="25">
        <f>ROUND(9.80345253757525,4)</f>
        <v>9.8035</v>
      </c>
      <c r="D349" s="25">
        <f>F349</f>
        <v>10.2026</v>
      </c>
      <c r="E349" s="25">
        <f>F349</f>
        <v>10.2026</v>
      </c>
      <c r="F349" s="25">
        <f>ROUND(10.2026,4)</f>
        <v>10.2026</v>
      </c>
      <c r="G349" s="24"/>
      <c r="H349" s="36"/>
    </row>
    <row r="350" spans="1:8" ht="12.75" customHeight="1">
      <c r="A350" s="22">
        <v>43542</v>
      </c>
      <c r="B350" s="22"/>
      <c r="C350" s="25">
        <f>ROUND(9.80345253757525,4)</f>
        <v>9.8035</v>
      </c>
      <c r="D350" s="25">
        <f>F350</f>
        <v>10.3322</v>
      </c>
      <c r="E350" s="25">
        <f>F350</f>
        <v>10.3322</v>
      </c>
      <c r="F350" s="25">
        <f>ROUND(10.3322,4)</f>
        <v>10.3322</v>
      </c>
      <c r="G350" s="24"/>
      <c r="H350" s="36"/>
    </row>
    <row r="351" spans="1:8" ht="12.75" customHeight="1">
      <c r="A351" s="22">
        <v>43630</v>
      </c>
      <c r="B351" s="22"/>
      <c r="C351" s="25">
        <f>ROUND(9.80345253757525,4)</f>
        <v>9.8035</v>
      </c>
      <c r="D351" s="25">
        <f>F351</f>
        <v>10.4769</v>
      </c>
      <c r="E351" s="25">
        <f>F351</f>
        <v>10.4769</v>
      </c>
      <c r="F351" s="25">
        <f>ROUND(10.4769,4)</f>
        <v>10.4769</v>
      </c>
      <c r="G351" s="24"/>
      <c r="H351" s="36"/>
    </row>
    <row r="352" spans="1:8" ht="12.75" customHeight="1">
      <c r="A352" s="22">
        <v>43724</v>
      </c>
      <c r="B352" s="22"/>
      <c r="C352" s="25">
        <f>ROUND(9.80345253757525,4)</f>
        <v>9.8035</v>
      </c>
      <c r="D352" s="25">
        <f>F352</f>
        <v>10.6137</v>
      </c>
      <c r="E352" s="25">
        <f>F352</f>
        <v>10.6137</v>
      </c>
      <c r="F352" s="25">
        <f>ROUND(10.6137,4)</f>
        <v>10.6137</v>
      </c>
      <c r="G352" s="24"/>
      <c r="H352" s="36"/>
    </row>
    <row r="353" spans="1:8" ht="12.75" customHeight="1">
      <c r="A353" s="22">
        <v>43812</v>
      </c>
      <c r="B353" s="22"/>
      <c r="C353" s="25">
        <f>ROUND(9.80345253757525,4)</f>
        <v>9.8035</v>
      </c>
      <c r="D353" s="25">
        <f>F353</f>
        <v>10.7588</v>
      </c>
      <c r="E353" s="25">
        <f>F353</f>
        <v>10.7588</v>
      </c>
      <c r="F353" s="25">
        <f>ROUND(10.7588,4)</f>
        <v>10.7588</v>
      </c>
      <c r="G353" s="24"/>
      <c r="H353" s="36"/>
    </row>
    <row r="354" spans="1:8" ht="12.75" customHeight="1">
      <c r="A354" s="22" t="s">
        <v>71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43178</v>
      </c>
      <c r="B355" s="22"/>
      <c r="C355" s="25">
        <f>ROUND(1.9086415204409,4)</f>
        <v>1.9086</v>
      </c>
      <c r="D355" s="25">
        <f>F355</f>
        <v>1.9007</v>
      </c>
      <c r="E355" s="25">
        <f>F355</f>
        <v>1.9007</v>
      </c>
      <c r="F355" s="25">
        <f>ROUND(1.9007,4)</f>
        <v>1.9007</v>
      </c>
      <c r="G355" s="24"/>
      <c r="H355" s="36"/>
    </row>
    <row r="356" spans="1:8" ht="12.75" customHeight="1">
      <c r="A356" s="22">
        <v>43269</v>
      </c>
      <c r="B356" s="22"/>
      <c r="C356" s="25">
        <f>ROUND(1.9086415204409,4)</f>
        <v>1.9086</v>
      </c>
      <c r="D356" s="25">
        <f>F356</f>
        <v>1.9159</v>
      </c>
      <c r="E356" s="25">
        <f>F356</f>
        <v>1.9159</v>
      </c>
      <c r="F356" s="25">
        <f>ROUND(1.9159,4)</f>
        <v>1.9159</v>
      </c>
      <c r="G356" s="24"/>
      <c r="H356" s="36"/>
    </row>
    <row r="357" spans="1:8" ht="12.75" customHeight="1">
      <c r="A357" s="22">
        <v>43360</v>
      </c>
      <c r="B357" s="22"/>
      <c r="C357" s="25">
        <f>ROUND(1.9086415204409,4)</f>
        <v>1.9086</v>
      </c>
      <c r="D357" s="25">
        <f>F357</f>
        <v>1.9299</v>
      </c>
      <c r="E357" s="25">
        <f>F357</f>
        <v>1.9299</v>
      </c>
      <c r="F357" s="25">
        <f>ROUND(1.9299,4)</f>
        <v>1.9299</v>
      </c>
      <c r="G357" s="24"/>
      <c r="H357" s="36"/>
    </row>
    <row r="358" spans="1:8" ht="12.75" customHeight="1">
      <c r="A358" s="22">
        <v>43448</v>
      </c>
      <c r="B358" s="22"/>
      <c r="C358" s="25">
        <f>ROUND(1.9086415204409,4)</f>
        <v>1.9086</v>
      </c>
      <c r="D358" s="25">
        <f>F358</f>
        <v>1.9436</v>
      </c>
      <c r="E358" s="25">
        <f>F358</f>
        <v>1.9436</v>
      </c>
      <c r="F358" s="25">
        <f>ROUND(1.9436,4)</f>
        <v>1.9436</v>
      </c>
      <c r="G358" s="24"/>
      <c r="H358" s="36"/>
    </row>
    <row r="359" spans="1:8" ht="12.75" customHeight="1">
      <c r="A359" s="22">
        <v>43542</v>
      </c>
      <c r="B359" s="22"/>
      <c r="C359" s="25">
        <f>ROUND(1.9086415204409,4)</f>
        <v>1.9086</v>
      </c>
      <c r="D359" s="25">
        <f>F359</f>
        <v>1.9596</v>
      </c>
      <c r="E359" s="25">
        <f>F359</f>
        <v>1.9596</v>
      </c>
      <c r="F359" s="25">
        <f>ROUND(1.9596,4)</f>
        <v>1.9596</v>
      </c>
      <c r="G359" s="24"/>
      <c r="H359" s="36"/>
    </row>
    <row r="360" spans="1:8" ht="12.75" customHeight="1">
      <c r="A360" s="22">
        <v>43630</v>
      </c>
      <c r="B360" s="22"/>
      <c r="C360" s="25">
        <f>ROUND(1.9086415204409,4)</f>
        <v>1.9086</v>
      </c>
      <c r="D360" s="25">
        <f>F360</f>
        <v>1.9747</v>
      </c>
      <c r="E360" s="25">
        <f>F360</f>
        <v>1.9747</v>
      </c>
      <c r="F360" s="25">
        <f>ROUND(1.9747,4)</f>
        <v>1.9747</v>
      </c>
      <c r="G360" s="24"/>
      <c r="H360" s="36"/>
    </row>
    <row r="361" spans="1:8" ht="12.75" customHeight="1">
      <c r="A361" s="22">
        <v>43724</v>
      </c>
      <c r="B361" s="22"/>
      <c r="C361" s="25">
        <f>ROUND(1.9086415204409,4)</f>
        <v>1.9086</v>
      </c>
      <c r="D361" s="25">
        <f>F361</f>
        <v>1.9907</v>
      </c>
      <c r="E361" s="25">
        <f>F361</f>
        <v>1.9907</v>
      </c>
      <c r="F361" s="25">
        <f>ROUND(1.9907,4)</f>
        <v>1.9907</v>
      </c>
      <c r="G361" s="24"/>
      <c r="H361" s="36"/>
    </row>
    <row r="362" spans="1:8" ht="12.75" customHeight="1">
      <c r="A362" s="22">
        <v>43812</v>
      </c>
      <c r="B362" s="22"/>
      <c r="C362" s="25">
        <f>ROUND(1.9086415204409,4)</f>
        <v>1.9086</v>
      </c>
      <c r="D362" s="25">
        <f>F362</f>
        <v>2.0055</v>
      </c>
      <c r="E362" s="25">
        <f>F362</f>
        <v>2.0055</v>
      </c>
      <c r="F362" s="25">
        <f>ROUND(2.0055,4)</f>
        <v>2.0055</v>
      </c>
      <c r="G362" s="24"/>
      <c r="H362" s="36"/>
    </row>
    <row r="363" spans="1:8" ht="12.75" customHeight="1">
      <c r="A363" s="22" t="s">
        <v>72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43178</v>
      </c>
      <c r="B364" s="22"/>
      <c r="C364" s="25">
        <f>ROUND(1.97881962886067,4)</f>
        <v>1.9788</v>
      </c>
      <c r="D364" s="25">
        <f>F364</f>
        <v>2.0182</v>
      </c>
      <c r="E364" s="25">
        <f>F364</f>
        <v>2.0182</v>
      </c>
      <c r="F364" s="25">
        <f>ROUND(2.0182,4)</f>
        <v>2.0182</v>
      </c>
      <c r="G364" s="24"/>
      <c r="H364" s="36"/>
    </row>
    <row r="365" spans="1:8" ht="12.75" customHeight="1">
      <c r="A365" s="22">
        <v>43269</v>
      </c>
      <c r="B365" s="22"/>
      <c r="C365" s="25">
        <f>ROUND(1.97881962886067,4)</f>
        <v>1.9788</v>
      </c>
      <c r="D365" s="25">
        <f>F365</f>
        <v>2.0581</v>
      </c>
      <c r="E365" s="25">
        <f>F365</f>
        <v>2.0581</v>
      </c>
      <c r="F365" s="25">
        <f>ROUND(2.0581,4)</f>
        <v>2.0581</v>
      </c>
      <c r="G365" s="24"/>
      <c r="H365" s="36"/>
    </row>
    <row r="366" spans="1:8" ht="12.75" customHeight="1">
      <c r="A366" s="22">
        <v>43360</v>
      </c>
      <c r="B366" s="22"/>
      <c r="C366" s="25">
        <f>ROUND(1.97881962886067,4)</f>
        <v>1.9788</v>
      </c>
      <c r="D366" s="25">
        <f>F366</f>
        <v>2.0987</v>
      </c>
      <c r="E366" s="25">
        <f>F366</f>
        <v>2.0987</v>
      </c>
      <c r="F366" s="25">
        <f>ROUND(2.0987,4)</f>
        <v>2.0987</v>
      </c>
      <c r="G366" s="24"/>
      <c r="H366" s="36"/>
    </row>
    <row r="367" spans="1:8" ht="12.75" customHeight="1">
      <c r="A367" s="22">
        <v>43448</v>
      </c>
      <c r="B367" s="22"/>
      <c r="C367" s="25">
        <f>ROUND(1.97881962886067,4)</f>
        <v>1.9788</v>
      </c>
      <c r="D367" s="25">
        <f>F367</f>
        <v>2.1358</v>
      </c>
      <c r="E367" s="25">
        <f>F367</f>
        <v>2.1358</v>
      </c>
      <c r="F367" s="25">
        <f>ROUND(2.1358,4)</f>
        <v>2.1358</v>
      </c>
      <c r="G367" s="24"/>
      <c r="H367" s="36"/>
    </row>
    <row r="368" spans="1:8" ht="12.75" customHeight="1">
      <c r="A368" s="22">
        <v>43542</v>
      </c>
      <c r="B368" s="22"/>
      <c r="C368" s="25">
        <f>ROUND(1.97881962886067,4)</f>
        <v>1.9788</v>
      </c>
      <c r="D368" s="25">
        <f>F368</f>
        <v>2.2614</v>
      </c>
      <c r="E368" s="25">
        <f>F368</f>
        <v>2.2614</v>
      </c>
      <c r="F368" s="25">
        <f>ROUND(2.2614,4)</f>
        <v>2.2614</v>
      </c>
      <c r="G368" s="24"/>
      <c r="H368" s="36"/>
    </row>
    <row r="369" spans="1:8" ht="12.75" customHeight="1">
      <c r="A369" s="22">
        <v>43630</v>
      </c>
      <c r="B369" s="22"/>
      <c r="C369" s="25">
        <f>ROUND(1.97881962886067,4)</f>
        <v>1.9788</v>
      </c>
      <c r="D369" s="25">
        <f>F369</f>
        <v>2.3183</v>
      </c>
      <c r="E369" s="25">
        <f>F369</f>
        <v>2.3183</v>
      </c>
      <c r="F369" s="25">
        <f>ROUND(2.3183,4)</f>
        <v>2.3183</v>
      </c>
      <c r="G369" s="24"/>
      <c r="H369" s="36"/>
    </row>
    <row r="370" spans="1:8" ht="12.75" customHeight="1">
      <c r="A370" s="22">
        <v>43724</v>
      </c>
      <c r="B370" s="22"/>
      <c r="C370" s="25">
        <f>ROUND(1.97881962886067,4)</f>
        <v>1.9788</v>
      </c>
      <c r="D370" s="25">
        <f>F370</f>
        <v>2.3769</v>
      </c>
      <c r="E370" s="25">
        <f>F370</f>
        <v>2.3769</v>
      </c>
      <c r="F370" s="25">
        <f>ROUND(2.3769,4)</f>
        <v>2.3769</v>
      </c>
      <c r="G370" s="24"/>
      <c r="H370" s="36"/>
    </row>
    <row r="371" spans="1:8" ht="12.75" customHeight="1">
      <c r="A371" s="22">
        <v>43812</v>
      </c>
      <c r="B371" s="22"/>
      <c r="C371" s="25">
        <f>ROUND(1.97881962886067,4)</f>
        <v>1.9788</v>
      </c>
      <c r="D371" s="25">
        <f>F371</f>
        <v>2.4374</v>
      </c>
      <c r="E371" s="25">
        <f>F371</f>
        <v>2.4374</v>
      </c>
      <c r="F371" s="25">
        <f>ROUND(2.4374,4)</f>
        <v>2.4374</v>
      </c>
      <c r="G371" s="24"/>
      <c r="H371" s="36"/>
    </row>
    <row r="372" spans="1:8" ht="12.75" customHeight="1">
      <c r="A372" s="22" t="s">
        <v>73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43178</v>
      </c>
      <c r="B373" s="22"/>
      <c r="C373" s="25">
        <f>ROUND(14.7355575,4)</f>
        <v>14.7356</v>
      </c>
      <c r="D373" s="25">
        <f>F373</f>
        <v>14.9673</v>
      </c>
      <c r="E373" s="25">
        <f>F373</f>
        <v>14.9673</v>
      </c>
      <c r="F373" s="25">
        <f>ROUND(14.9673,4)</f>
        <v>14.9673</v>
      </c>
      <c r="G373" s="24"/>
      <c r="H373" s="36"/>
    </row>
    <row r="374" spans="1:8" ht="12.75" customHeight="1">
      <c r="A374" s="22">
        <v>43269</v>
      </c>
      <c r="B374" s="22"/>
      <c r="C374" s="25">
        <f>ROUND(14.7355575,4)</f>
        <v>14.7356</v>
      </c>
      <c r="D374" s="25">
        <f>F374</f>
        <v>15.2543</v>
      </c>
      <c r="E374" s="25">
        <f>F374</f>
        <v>15.2543</v>
      </c>
      <c r="F374" s="25">
        <f>ROUND(15.2543,4)</f>
        <v>15.2543</v>
      </c>
      <c r="G374" s="24"/>
      <c r="H374" s="36"/>
    </row>
    <row r="375" spans="1:8" ht="12.75" customHeight="1">
      <c r="A375" s="22">
        <v>43360</v>
      </c>
      <c r="B375" s="22"/>
      <c r="C375" s="25">
        <f>ROUND(14.7355575,4)</f>
        <v>14.7356</v>
      </c>
      <c r="D375" s="25">
        <f>F375</f>
        <v>15.5466</v>
      </c>
      <c r="E375" s="25">
        <f>F375</f>
        <v>15.5466</v>
      </c>
      <c r="F375" s="25">
        <f>ROUND(15.5466,4)</f>
        <v>15.5466</v>
      </c>
      <c r="G375" s="24"/>
      <c r="H375" s="36"/>
    </row>
    <row r="376" spans="1:8" ht="12.75" customHeight="1">
      <c r="A376" s="22">
        <v>43448</v>
      </c>
      <c r="B376" s="22"/>
      <c r="C376" s="25">
        <f>ROUND(14.7355575,4)</f>
        <v>14.7356</v>
      </c>
      <c r="D376" s="25">
        <f>F376</f>
        <v>15.8352</v>
      </c>
      <c r="E376" s="25">
        <f>F376</f>
        <v>15.8352</v>
      </c>
      <c r="F376" s="25">
        <f>ROUND(15.8352,4)</f>
        <v>15.8352</v>
      </c>
      <c r="G376" s="24"/>
      <c r="H376" s="36"/>
    </row>
    <row r="377" spans="1:8" ht="12.75" customHeight="1">
      <c r="A377" s="22">
        <v>43542</v>
      </c>
      <c r="B377" s="22"/>
      <c r="C377" s="25">
        <f>ROUND(14.7355575,4)</f>
        <v>14.7356</v>
      </c>
      <c r="D377" s="25">
        <f>F377</f>
        <v>16.1168</v>
      </c>
      <c r="E377" s="25">
        <f>F377</f>
        <v>16.1168</v>
      </c>
      <c r="F377" s="25">
        <f>ROUND(16.1168,4)</f>
        <v>16.1168</v>
      </c>
      <c r="G377" s="24"/>
      <c r="H377" s="36"/>
    </row>
    <row r="378" spans="1:8" ht="12.75" customHeight="1">
      <c r="A378" s="22">
        <v>43630</v>
      </c>
      <c r="B378" s="22"/>
      <c r="C378" s="25">
        <f>ROUND(14.7355575,4)</f>
        <v>14.7356</v>
      </c>
      <c r="D378" s="25">
        <f>F378</f>
        <v>16.4572</v>
      </c>
      <c r="E378" s="25">
        <f>F378</f>
        <v>16.4572</v>
      </c>
      <c r="F378" s="25">
        <f>ROUND(16.4572,4)</f>
        <v>16.4572</v>
      </c>
      <c r="G378" s="24"/>
      <c r="H378" s="36"/>
    </row>
    <row r="379" spans="1:8" ht="12.75" customHeight="1">
      <c r="A379" s="22">
        <v>43724</v>
      </c>
      <c r="B379" s="22"/>
      <c r="C379" s="25">
        <f>ROUND(14.7355575,4)</f>
        <v>14.7356</v>
      </c>
      <c r="D379" s="25">
        <f>F379</f>
        <v>16.8453</v>
      </c>
      <c r="E379" s="25">
        <f>F379</f>
        <v>16.8453</v>
      </c>
      <c r="F379" s="25">
        <f>ROUND(16.8453,4)</f>
        <v>16.8453</v>
      </c>
      <c r="G379" s="24"/>
      <c r="H379" s="36"/>
    </row>
    <row r="380" spans="1:8" ht="12.75" customHeight="1">
      <c r="A380" s="22">
        <v>43812</v>
      </c>
      <c r="B380" s="22"/>
      <c r="C380" s="25">
        <f>ROUND(14.7355575,4)</f>
        <v>14.7356</v>
      </c>
      <c r="D380" s="25">
        <f>F380</f>
        <v>17.2126</v>
      </c>
      <c r="E380" s="25">
        <f>F380</f>
        <v>17.2126</v>
      </c>
      <c r="F380" s="25">
        <f>ROUND(17.2126,4)</f>
        <v>17.2126</v>
      </c>
      <c r="G380" s="24"/>
      <c r="H380" s="36"/>
    </row>
    <row r="381" spans="1:8" ht="12.75" customHeight="1">
      <c r="A381" s="22" t="s">
        <v>74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43178</v>
      </c>
      <c r="B382" s="22"/>
      <c r="C382" s="25">
        <f>ROUND(12.6025010250103,4)</f>
        <v>12.6025</v>
      </c>
      <c r="D382" s="25">
        <f>F382</f>
        <v>12.812</v>
      </c>
      <c r="E382" s="25">
        <f>F382</f>
        <v>12.812</v>
      </c>
      <c r="F382" s="25">
        <f>ROUND(12.812,4)</f>
        <v>12.812</v>
      </c>
      <c r="G382" s="24"/>
      <c r="H382" s="36"/>
    </row>
    <row r="383" spans="1:8" ht="12.75" customHeight="1">
      <c r="A383" s="22">
        <v>43269</v>
      </c>
      <c r="B383" s="22"/>
      <c r="C383" s="25">
        <f>ROUND(12.6025010250103,4)</f>
        <v>12.6025</v>
      </c>
      <c r="D383" s="25">
        <f>F383</f>
        <v>13.0718</v>
      </c>
      <c r="E383" s="25">
        <f>F383</f>
        <v>13.0718</v>
      </c>
      <c r="F383" s="25">
        <f>ROUND(13.0718,4)</f>
        <v>13.0718</v>
      </c>
      <c r="G383" s="24"/>
      <c r="H383" s="36"/>
    </row>
    <row r="384" spans="1:8" ht="12.75" customHeight="1">
      <c r="A384" s="22">
        <v>43360</v>
      </c>
      <c r="B384" s="22"/>
      <c r="C384" s="25">
        <f>ROUND(12.6025010250103,4)</f>
        <v>12.6025</v>
      </c>
      <c r="D384" s="25">
        <f>F384</f>
        <v>13.3366</v>
      </c>
      <c r="E384" s="25">
        <f>F384</f>
        <v>13.3366</v>
      </c>
      <c r="F384" s="25">
        <f>ROUND(13.3366,4)</f>
        <v>13.3366</v>
      </c>
      <c r="G384" s="24"/>
      <c r="H384" s="36"/>
    </row>
    <row r="385" spans="1:8" ht="12.75" customHeight="1">
      <c r="A385" s="22">
        <v>43448</v>
      </c>
      <c r="B385" s="22"/>
      <c r="C385" s="25">
        <f>ROUND(12.6025010250103,4)</f>
        <v>12.6025</v>
      </c>
      <c r="D385" s="25">
        <f>F385</f>
        <v>13.5979</v>
      </c>
      <c r="E385" s="25">
        <f>F385</f>
        <v>13.5979</v>
      </c>
      <c r="F385" s="25">
        <f>ROUND(13.5979,4)</f>
        <v>13.5979</v>
      </c>
      <c r="G385" s="24"/>
      <c r="H385" s="36"/>
    </row>
    <row r="386" spans="1:8" ht="12.75" customHeight="1">
      <c r="A386" s="22">
        <v>43542</v>
      </c>
      <c r="B386" s="22"/>
      <c r="C386" s="25">
        <f>ROUND(12.6025010250103,4)</f>
        <v>12.6025</v>
      </c>
      <c r="D386" s="25">
        <f>F386</f>
        <v>13.8483</v>
      </c>
      <c r="E386" s="25">
        <f>F386</f>
        <v>13.8483</v>
      </c>
      <c r="F386" s="25">
        <f>ROUND(13.8483,4)</f>
        <v>13.8483</v>
      </c>
      <c r="G386" s="24"/>
      <c r="H386" s="36"/>
    </row>
    <row r="387" spans="1:8" ht="12.75" customHeight="1">
      <c r="A387" s="22">
        <v>43630</v>
      </c>
      <c r="B387" s="22"/>
      <c r="C387" s="25">
        <f>ROUND(12.6025010250103,4)</f>
        <v>12.6025</v>
      </c>
      <c r="D387" s="25">
        <f>F387</f>
        <v>14.4309</v>
      </c>
      <c r="E387" s="25">
        <f>F387</f>
        <v>14.4309</v>
      </c>
      <c r="F387" s="25">
        <f>ROUND(14.4309,4)</f>
        <v>14.4309</v>
      </c>
      <c r="G387" s="24"/>
      <c r="H387" s="36"/>
    </row>
    <row r="388" spans="1:8" ht="12.75" customHeight="1">
      <c r="A388" s="22">
        <v>43724</v>
      </c>
      <c r="B388" s="22"/>
      <c r="C388" s="25">
        <f>ROUND(12.6025010250103,4)</f>
        <v>12.6025</v>
      </c>
      <c r="D388" s="25">
        <f>F388</f>
        <v>14.6978</v>
      </c>
      <c r="E388" s="25">
        <f>F388</f>
        <v>14.6978</v>
      </c>
      <c r="F388" s="25">
        <f>ROUND(14.6978,4)</f>
        <v>14.6978</v>
      </c>
      <c r="G388" s="24"/>
      <c r="H388" s="36"/>
    </row>
    <row r="389" spans="1:8" ht="12.75" customHeight="1">
      <c r="A389" s="22">
        <v>43812</v>
      </c>
      <c r="B389" s="22"/>
      <c r="C389" s="25">
        <f>ROUND(12.6025010250103,4)</f>
        <v>12.6025</v>
      </c>
      <c r="D389" s="25">
        <f>F389</f>
        <v>14.9557</v>
      </c>
      <c r="E389" s="25">
        <f>F389</f>
        <v>14.9557</v>
      </c>
      <c r="F389" s="25">
        <f>ROUND(14.9557,4)</f>
        <v>14.9557</v>
      </c>
      <c r="G389" s="24"/>
      <c r="H389" s="36"/>
    </row>
    <row r="390" spans="1:8" ht="12.75" customHeight="1">
      <c r="A390" s="22" t="s">
        <v>75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43178</v>
      </c>
      <c r="B391" s="22"/>
      <c r="C391" s="25">
        <f>ROUND(16.6051659375,4)</f>
        <v>16.6052</v>
      </c>
      <c r="D391" s="25">
        <f>F391</f>
        <v>16.8319</v>
      </c>
      <c r="E391" s="25">
        <f>F391</f>
        <v>16.8319</v>
      </c>
      <c r="F391" s="25">
        <f>ROUND(16.8319,4)</f>
        <v>16.8319</v>
      </c>
      <c r="G391" s="24"/>
      <c r="H391" s="36"/>
    </row>
    <row r="392" spans="1:8" ht="12.75" customHeight="1">
      <c r="A392" s="22">
        <v>43269</v>
      </c>
      <c r="B392" s="22"/>
      <c r="C392" s="25">
        <f>ROUND(16.6051659375,4)</f>
        <v>16.6052</v>
      </c>
      <c r="D392" s="25">
        <f>F392</f>
        <v>17.1082</v>
      </c>
      <c r="E392" s="25">
        <f>F392</f>
        <v>17.1082</v>
      </c>
      <c r="F392" s="25">
        <f>ROUND(17.1082,4)</f>
        <v>17.1082</v>
      </c>
      <c r="G392" s="24"/>
      <c r="H392" s="36"/>
    </row>
    <row r="393" spans="1:8" ht="12.75" customHeight="1">
      <c r="A393" s="22">
        <v>43360</v>
      </c>
      <c r="B393" s="22"/>
      <c r="C393" s="25">
        <f>ROUND(16.6051659375,4)</f>
        <v>16.6052</v>
      </c>
      <c r="D393" s="25">
        <f>F393</f>
        <v>17.387</v>
      </c>
      <c r="E393" s="25">
        <f>F393</f>
        <v>17.387</v>
      </c>
      <c r="F393" s="25">
        <f>ROUND(17.387,4)</f>
        <v>17.387</v>
      </c>
      <c r="G393" s="24"/>
      <c r="H393" s="36"/>
    </row>
    <row r="394" spans="1:8" ht="12.75" customHeight="1">
      <c r="A394" s="22">
        <v>43448</v>
      </c>
      <c r="B394" s="22"/>
      <c r="C394" s="25">
        <f>ROUND(16.6051659375,4)</f>
        <v>16.6052</v>
      </c>
      <c r="D394" s="25">
        <f>F394</f>
        <v>17.6567</v>
      </c>
      <c r="E394" s="25">
        <f>F394</f>
        <v>17.6567</v>
      </c>
      <c r="F394" s="25">
        <f>ROUND(17.6567,4)</f>
        <v>17.6567</v>
      </c>
      <c r="G394" s="24"/>
      <c r="H394" s="36"/>
    </row>
    <row r="395" spans="1:8" ht="12.75" customHeight="1">
      <c r="A395" s="22">
        <v>43542</v>
      </c>
      <c r="B395" s="22"/>
      <c r="C395" s="25">
        <f>ROUND(16.6051659375,4)</f>
        <v>16.6052</v>
      </c>
      <c r="D395" s="25">
        <f>F395</f>
        <v>17.9617</v>
      </c>
      <c r="E395" s="25">
        <f>F395</f>
        <v>17.9617</v>
      </c>
      <c r="F395" s="25">
        <f>ROUND(17.9617,4)</f>
        <v>17.9617</v>
      </c>
      <c r="G395" s="24"/>
      <c r="H395" s="36"/>
    </row>
    <row r="396" spans="1:8" ht="12.75" customHeight="1">
      <c r="A396" s="22">
        <v>43630</v>
      </c>
      <c r="B396" s="22"/>
      <c r="C396" s="25">
        <f>ROUND(16.6051659375,4)</f>
        <v>16.6052</v>
      </c>
      <c r="D396" s="25">
        <f>F396</f>
        <v>18.2491</v>
      </c>
      <c r="E396" s="25">
        <f>F396</f>
        <v>18.2491</v>
      </c>
      <c r="F396" s="25">
        <f>ROUND(18.2491,4)</f>
        <v>18.2491</v>
      </c>
      <c r="G396" s="24"/>
      <c r="H396" s="36"/>
    </row>
    <row r="397" spans="1:8" ht="12.75" customHeight="1">
      <c r="A397" s="22">
        <v>43724</v>
      </c>
      <c r="B397" s="22"/>
      <c r="C397" s="25">
        <f>ROUND(16.6051659375,4)</f>
        <v>16.6052</v>
      </c>
      <c r="D397" s="25">
        <f>F397</f>
        <v>18.3196</v>
      </c>
      <c r="E397" s="25">
        <f>F397</f>
        <v>18.3196</v>
      </c>
      <c r="F397" s="25">
        <f>ROUND(18.3196,4)</f>
        <v>18.3196</v>
      </c>
      <c r="G397" s="24"/>
      <c r="H397" s="36"/>
    </row>
    <row r="398" spans="1:8" ht="12.75" customHeight="1">
      <c r="A398" s="22">
        <v>43812</v>
      </c>
      <c r="B398" s="22"/>
      <c r="C398" s="25">
        <f>ROUND(16.6051659375,4)</f>
        <v>16.6052</v>
      </c>
      <c r="D398" s="25">
        <f>F398</f>
        <v>18.8523</v>
      </c>
      <c r="E398" s="25">
        <f>F398</f>
        <v>18.8523</v>
      </c>
      <c r="F398" s="25">
        <f>ROUND(18.8523,4)</f>
        <v>18.8523</v>
      </c>
      <c r="G398" s="24"/>
      <c r="H398" s="36"/>
    </row>
    <row r="399" spans="1:8" ht="12.75" customHeight="1">
      <c r="A399" s="22" t="s">
        <v>76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43178</v>
      </c>
      <c r="B400" s="22"/>
      <c r="C400" s="25">
        <f>ROUND(1.57330688761637,4)</f>
        <v>1.5733</v>
      </c>
      <c r="D400" s="25">
        <f>F400</f>
        <v>1.5933</v>
      </c>
      <c r="E400" s="25">
        <f>F400</f>
        <v>1.5933</v>
      </c>
      <c r="F400" s="25">
        <f>ROUND(1.5933,4)</f>
        <v>1.5933</v>
      </c>
      <c r="G400" s="24"/>
      <c r="H400" s="36"/>
    </row>
    <row r="401" spans="1:8" ht="12.75" customHeight="1">
      <c r="A401" s="22">
        <v>43269</v>
      </c>
      <c r="B401" s="22"/>
      <c r="C401" s="25">
        <f>ROUND(1.57330688761637,4)</f>
        <v>1.5733</v>
      </c>
      <c r="D401" s="25">
        <f>F401</f>
        <v>1.6168</v>
      </c>
      <c r="E401" s="25">
        <f>F401</f>
        <v>1.6168</v>
      </c>
      <c r="F401" s="25">
        <f>ROUND(1.6168,4)</f>
        <v>1.6168</v>
      </c>
      <c r="G401" s="24"/>
      <c r="H401" s="36"/>
    </row>
    <row r="402" spans="1:8" ht="12.75" customHeight="1">
      <c r="A402" s="22">
        <v>43360</v>
      </c>
      <c r="B402" s="22"/>
      <c r="C402" s="25">
        <f>ROUND(1.57330688761637,4)</f>
        <v>1.5733</v>
      </c>
      <c r="D402" s="25">
        <f>F402</f>
        <v>1.6396</v>
      </c>
      <c r="E402" s="25">
        <f>F402</f>
        <v>1.6396</v>
      </c>
      <c r="F402" s="25">
        <f>ROUND(1.6396,4)</f>
        <v>1.6396</v>
      </c>
      <c r="G402" s="24"/>
      <c r="H402" s="36"/>
    </row>
    <row r="403" spans="1:8" ht="12.75" customHeight="1">
      <c r="A403" s="22">
        <v>43448</v>
      </c>
      <c r="B403" s="22"/>
      <c r="C403" s="25">
        <f>ROUND(1.57330688761637,4)</f>
        <v>1.5733</v>
      </c>
      <c r="D403" s="25">
        <f>F403</f>
        <v>1.6609</v>
      </c>
      <c r="E403" s="25">
        <f>F403</f>
        <v>1.6609</v>
      </c>
      <c r="F403" s="25">
        <f>ROUND(1.6609,4)</f>
        <v>1.6609</v>
      </c>
      <c r="G403" s="24"/>
      <c r="H403" s="36"/>
    </row>
    <row r="404" spans="1:8" ht="12.75" customHeight="1">
      <c r="A404" s="22">
        <v>43542</v>
      </c>
      <c r="B404" s="22"/>
      <c r="C404" s="25">
        <f>ROUND(1.57330688761637,4)</f>
        <v>1.5733</v>
      </c>
      <c r="D404" s="25">
        <f>F404</f>
        <v>1.7482</v>
      </c>
      <c r="E404" s="25">
        <f>F404</f>
        <v>1.7482</v>
      </c>
      <c r="F404" s="25">
        <f>ROUND(1.7482,4)</f>
        <v>1.7482</v>
      </c>
      <c r="G404" s="24"/>
      <c r="H404" s="36"/>
    </row>
    <row r="405" spans="1:8" ht="12.75" customHeight="1">
      <c r="A405" s="22">
        <v>43630</v>
      </c>
      <c r="B405" s="22"/>
      <c r="C405" s="25">
        <f>ROUND(1.57330688761637,4)</f>
        <v>1.5733</v>
      </c>
      <c r="D405" s="25">
        <f>F405</f>
        <v>1.7742</v>
      </c>
      <c r="E405" s="25">
        <f>F405</f>
        <v>1.7742</v>
      </c>
      <c r="F405" s="25">
        <f>ROUND(1.7742,4)</f>
        <v>1.7742</v>
      </c>
      <c r="G405" s="24"/>
      <c r="H405" s="36"/>
    </row>
    <row r="406" spans="1:8" ht="12.75" customHeight="1">
      <c r="A406" s="22">
        <v>43724</v>
      </c>
      <c r="B406" s="22"/>
      <c r="C406" s="25">
        <f>ROUND(1.57330688761637,4)</f>
        <v>1.5733</v>
      </c>
      <c r="D406" s="25">
        <f>F406</f>
        <v>1.7993</v>
      </c>
      <c r="E406" s="25">
        <f>F406</f>
        <v>1.7993</v>
      </c>
      <c r="F406" s="25">
        <f>ROUND(1.7993,4)</f>
        <v>1.7993</v>
      </c>
      <c r="G406" s="24"/>
      <c r="H406" s="36"/>
    </row>
    <row r="407" spans="1:8" ht="12.75" customHeight="1">
      <c r="A407" s="22">
        <v>43812</v>
      </c>
      <c r="B407" s="22"/>
      <c r="C407" s="25">
        <f>ROUND(1.57330688761637,4)</f>
        <v>1.5733</v>
      </c>
      <c r="D407" s="25">
        <f>F407</f>
        <v>1.8261</v>
      </c>
      <c r="E407" s="25">
        <f>F407</f>
        <v>1.8261</v>
      </c>
      <c r="F407" s="25">
        <f>ROUND(1.8261,4)</f>
        <v>1.8261</v>
      </c>
      <c r="G407" s="24"/>
      <c r="H407" s="36"/>
    </row>
    <row r="408" spans="1:8" ht="12.75" customHeight="1">
      <c r="A408" s="22" t="s">
        <v>77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43178</v>
      </c>
      <c r="B409" s="22"/>
      <c r="C409" s="28">
        <f>ROUND(0.109212440180762,6)</f>
        <v>0.109212</v>
      </c>
      <c r="D409" s="28">
        <f>F409</f>
        <v>0.110857</v>
      </c>
      <c r="E409" s="28">
        <f>F409</f>
        <v>0.110857</v>
      </c>
      <c r="F409" s="28">
        <f>ROUND(0.110857,6)</f>
        <v>0.110857</v>
      </c>
      <c r="G409" s="24"/>
      <c r="H409" s="36"/>
    </row>
    <row r="410" spans="1:8" ht="12.75" customHeight="1">
      <c r="A410" s="22">
        <v>43269</v>
      </c>
      <c r="B410" s="22"/>
      <c r="C410" s="28">
        <f>ROUND(0.109212440180762,6)</f>
        <v>0.109212</v>
      </c>
      <c r="D410" s="28">
        <f>F410</f>
        <v>0.112916</v>
      </c>
      <c r="E410" s="28">
        <f>F410</f>
        <v>0.112916</v>
      </c>
      <c r="F410" s="28">
        <f>ROUND(0.112916,6)</f>
        <v>0.112916</v>
      </c>
      <c r="G410" s="24"/>
      <c r="H410" s="36"/>
    </row>
    <row r="411" spans="1:8" ht="12.75" customHeight="1">
      <c r="A411" s="22">
        <v>43360</v>
      </c>
      <c r="B411" s="22"/>
      <c r="C411" s="28">
        <f>ROUND(0.109212440180762,6)</f>
        <v>0.109212</v>
      </c>
      <c r="D411" s="28">
        <f>F411</f>
        <v>0.115027</v>
      </c>
      <c r="E411" s="28">
        <f>F411</f>
        <v>0.115027</v>
      </c>
      <c r="F411" s="28">
        <f>ROUND(0.115027,6)</f>
        <v>0.115027</v>
      </c>
      <c r="G411" s="24"/>
      <c r="H411" s="36"/>
    </row>
    <row r="412" spans="1:8" ht="12.75" customHeight="1">
      <c r="A412" s="22">
        <v>43448</v>
      </c>
      <c r="B412" s="22"/>
      <c r="C412" s="28">
        <f>ROUND(0.109212440180762,6)</f>
        <v>0.109212</v>
      </c>
      <c r="D412" s="28">
        <f>F412</f>
        <v>0.117136</v>
      </c>
      <c r="E412" s="28">
        <f>F412</f>
        <v>0.117136</v>
      </c>
      <c r="F412" s="28">
        <f>ROUND(0.117136,6)</f>
        <v>0.117136</v>
      </c>
      <c r="G412" s="24"/>
      <c r="H412" s="36"/>
    </row>
    <row r="413" spans="1:8" ht="12.75" customHeight="1">
      <c r="A413" s="22">
        <v>43542</v>
      </c>
      <c r="B413" s="22"/>
      <c r="C413" s="28">
        <f>ROUND(0.109212440180762,6)</f>
        <v>0.109212</v>
      </c>
      <c r="D413" s="28">
        <f>F413</f>
        <v>0.119573</v>
      </c>
      <c r="E413" s="28">
        <f>F413</f>
        <v>0.119573</v>
      </c>
      <c r="F413" s="28">
        <f>ROUND(0.119573,6)</f>
        <v>0.119573</v>
      </c>
      <c r="G413" s="24"/>
      <c r="H413" s="36"/>
    </row>
    <row r="414" spans="1:8" ht="12.75" customHeight="1">
      <c r="A414" s="22">
        <v>43630</v>
      </c>
      <c r="B414" s="22"/>
      <c r="C414" s="28">
        <f>ROUND(0.109212440180762,6)</f>
        <v>0.109212</v>
      </c>
      <c r="D414" s="28">
        <f>F414</f>
        <v>0.124958</v>
      </c>
      <c r="E414" s="28">
        <f>F414</f>
        <v>0.124958</v>
      </c>
      <c r="F414" s="28">
        <f>ROUND(0.124958,6)</f>
        <v>0.124958</v>
      </c>
      <c r="G414" s="24"/>
      <c r="H414" s="36"/>
    </row>
    <row r="415" spans="1:8" ht="12.75" customHeight="1">
      <c r="A415" s="22">
        <v>43724</v>
      </c>
      <c r="B415" s="22"/>
      <c r="C415" s="28">
        <f>ROUND(0.109212440180762,6)</f>
        <v>0.109212</v>
      </c>
      <c r="D415" s="28">
        <f>F415</f>
        <v>0.126941</v>
      </c>
      <c r="E415" s="28">
        <f>F415</f>
        <v>0.126941</v>
      </c>
      <c r="F415" s="28">
        <f>ROUND(0.126941,6)</f>
        <v>0.126941</v>
      </c>
      <c r="G415" s="24"/>
      <c r="H415" s="36"/>
    </row>
    <row r="416" spans="1:8" ht="12.75" customHeight="1">
      <c r="A416" s="22">
        <v>43812</v>
      </c>
      <c r="B416" s="22"/>
      <c r="C416" s="28">
        <f>ROUND(0.109212440180762,6)</f>
        <v>0.109212</v>
      </c>
      <c r="D416" s="28">
        <f>F416</f>
        <v>0.128682</v>
      </c>
      <c r="E416" s="28">
        <f>F416</f>
        <v>0.128682</v>
      </c>
      <c r="F416" s="28">
        <f>ROUND(0.128682,6)</f>
        <v>0.128682</v>
      </c>
      <c r="G416" s="24"/>
      <c r="H416" s="36"/>
    </row>
    <row r="417" spans="1:8" ht="12.75" customHeight="1">
      <c r="A417" s="22" t="s">
        <v>78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43178</v>
      </c>
      <c r="B418" s="22"/>
      <c r="C418" s="25">
        <f>ROUND(0.118993467215098,4)</f>
        <v>0.119</v>
      </c>
      <c r="D418" s="25">
        <f>F418</f>
        <v>0.1188</v>
      </c>
      <c r="E418" s="25">
        <f>F418</f>
        <v>0.1188</v>
      </c>
      <c r="F418" s="25">
        <f>ROUND(0.1188,4)</f>
        <v>0.1188</v>
      </c>
      <c r="G418" s="24"/>
      <c r="H418" s="36"/>
    </row>
    <row r="419" spans="1:8" ht="12.75" customHeight="1">
      <c r="A419" s="22">
        <v>43269</v>
      </c>
      <c r="B419" s="22"/>
      <c r="C419" s="25">
        <f>ROUND(0.118993467215098,4)</f>
        <v>0.119</v>
      </c>
      <c r="D419" s="25">
        <f>F419</f>
        <v>0.1179</v>
      </c>
      <c r="E419" s="25">
        <f>F419</f>
        <v>0.1179</v>
      </c>
      <c r="F419" s="25">
        <f>ROUND(0.1179,4)</f>
        <v>0.1179</v>
      </c>
      <c r="G419" s="24"/>
      <c r="H419" s="36"/>
    </row>
    <row r="420" spans="1:8" ht="12.75" customHeight="1">
      <c r="A420" s="22">
        <v>43360</v>
      </c>
      <c r="B420" s="22"/>
      <c r="C420" s="25">
        <f>ROUND(0.118993467215098,4)</f>
        <v>0.119</v>
      </c>
      <c r="D420" s="25">
        <f>F420</f>
        <v>0.1171</v>
      </c>
      <c r="E420" s="25">
        <f>F420</f>
        <v>0.1171</v>
      </c>
      <c r="F420" s="25">
        <f>ROUND(0.1171,4)</f>
        <v>0.1171</v>
      </c>
      <c r="G420" s="24"/>
      <c r="H420" s="36"/>
    </row>
    <row r="421" spans="1:8" ht="12.75" customHeight="1">
      <c r="A421" s="22">
        <v>43448</v>
      </c>
      <c r="B421" s="22"/>
      <c r="C421" s="25">
        <f>ROUND(0.118993467215098,4)</f>
        <v>0.119</v>
      </c>
      <c r="D421" s="25">
        <f>F421</f>
        <v>0.116</v>
      </c>
      <c r="E421" s="25">
        <f>F421</f>
        <v>0.116</v>
      </c>
      <c r="F421" s="25">
        <f>ROUND(0.116,4)</f>
        <v>0.116</v>
      </c>
      <c r="G421" s="24"/>
      <c r="H421" s="36"/>
    </row>
    <row r="422" spans="1:8" ht="12.75" customHeight="1">
      <c r="A422" s="22">
        <v>43542</v>
      </c>
      <c r="B422" s="22"/>
      <c r="C422" s="25">
        <f>ROUND(0.118993467215098,4)</f>
        <v>0.119</v>
      </c>
      <c r="D422" s="25">
        <f>F422</f>
        <v>0.115</v>
      </c>
      <c r="E422" s="25">
        <f>F422</f>
        <v>0.115</v>
      </c>
      <c r="F422" s="25">
        <f>ROUND(0.115,4)</f>
        <v>0.115</v>
      </c>
      <c r="G422" s="24"/>
      <c r="H422" s="36"/>
    </row>
    <row r="423" spans="1:8" ht="12.75" customHeight="1">
      <c r="A423" s="22">
        <v>43630</v>
      </c>
      <c r="B423" s="22"/>
      <c r="C423" s="25">
        <f>ROUND(0.118993467215098,4)</f>
        <v>0.119</v>
      </c>
      <c r="D423" s="25">
        <f>F423</f>
        <v>0.1141</v>
      </c>
      <c r="E423" s="25">
        <f>F423</f>
        <v>0.1141</v>
      </c>
      <c r="F423" s="25">
        <f>ROUND(0.1141,4)</f>
        <v>0.1141</v>
      </c>
      <c r="G423" s="24"/>
      <c r="H423" s="36"/>
    </row>
    <row r="424" spans="1:8" ht="12.75" customHeight="1">
      <c r="A424" s="22">
        <v>43724</v>
      </c>
      <c r="B424" s="22"/>
      <c r="C424" s="25">
        <f>ROUND(0.118993467215098,4)</f>
        <v>0.119</v>
      </c>
      <c r="D424" s="25">
        <f>F424</f>
        <v>0.1191</v>
      </c>
      <c r="E424" s="25">
        <f>F424</f>
        <v>0.1191</v>
      </c>
      <c r="F424" s="25">
        <f>ROUND(0.1191,4)</f>
        <v>0.1191</v>
      </c>
      <c r="G424" s="24"/>
      <c r="H424" s="36"/>
    </row>
    <row r="425" spans="1:8" ht="12.75" customHeight="1">
      <c r="A425" s="22" t="s">
        <v>79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43178</v>
      </c>
      <c r="B426" s="22"/>
      <c r="C426" s="25">
        <f>ROUND(1.49770988646884,4)</f>
        <v>1.4977</v>
      </c>
      <c r="D426" s="25">
        <f>F426</f>
        <v>1.5203</v>
      </c>
      <c r="E426" s="25">
        <f>F426</f>
        <v>1.5203</v>
      </c>
      <c r="F426" s="25">
        <f>ROUND(1.5203,4)</f>
        <v>1.5203</v>
      </c>
      <c r="G426" s="24"/>
      <c r="H426" s="36"/>
    </row>
    <row r="427" spans="1:8" ht="12.75" customHeight="1">
      <c r="A427" s="22">
        <v>43269</v>
      </c>
      <c r="B427" s="22"/>
      <c r="C427" s="25">
        <f>ROUND(1.49770988646884,4)</f>
        <v>1.4977</v>
      </c>
      <c r="D427" s="25">
        <f>F427</f>
        <v>1.5452</v>
      </c>
      <c r="E427" s="25">
        <f>F427</f>
        <v>1.5452</v>
      </c>
      <c r="F427" s="25">
        <f>ROUND(1.5452,4)</f>
        <v>1.5452</v>
      </c>
      <c r="G427" s="24"/>
      <c r="H427" s="36"/>
    </row>
    <row r="428" spans="1:8" ht="12.75" customHeight="1">
      <c r="A428" s="22">
        <v>43360</v>
      </c>
      <c r="B428" s="22"/>
      <c r="C428" s="25">
        <f>ROUND(1.49770988646884,4)</f>
        <v>1.4977</v>
      </c>
      <c r="D428" s="25">
        <f>F428</f>
        <v>1.5703</v>
      </c>
      <c r="E428" s="25">
        <f>F428</f>
        <v>1.5703</v>
      </c>
      <c r="F428" s="25">
        <f>ROUND(1.5703,4)</f>
        <v>1.5703</v>
      </c>
      <c r="G428" s="24"/>
      <c r="H428" s="36"/>
    </row>
    <row r="429" spans="1:8" ht="12.75" customHeight="1">
      <c r="A429" s="22">
        <v>43448</v>
      </c>
      <c r="B429" s="22"/>
      <c r="C429" s="25">
        <f>ROUND(1.49770988646884,4)</f>
        <v>1.4977</v>
      </c>
      <c r="D429" s="25">
        <f>F429</f>
        <v>1.5935</v>
      </c>
      <c r="E429" s="25">
        <f>F429</f>
        <v>1.5935</v>
      </c>
      <c r="F429" s="25">
        <f>ROUND(1.5935,4)</f>
        <v>1.5935</v>
      </c>
      <c r="G429" s="24"/>
      <c r="H429" s="36"/>
    </row>
    <row r="430" spans="1:8" ht="12.75" customHeight="1">
      <c r="A430" s="22">
        <v>43630</v>
      </c>
      <c r="B430" s="22"/>
      <c r="C430" s="25">
        <f>ROUND(1.49770988646884,4)</f>
        <v>1.4977</v>
      </c>
      <c r="D430" s="25">
        <f>F430</f>
        <v>1.648</v>
      </c>
      <c r="E430" s="25">
        <f>F430</f>
        <v>1.648</v>
      </c>
      <c r="F430" s="25">
        <v>1.648</v>
      </c>
      <c r="G430" s="24"/>
      <c r="H430" s="36"/>
    </row>
    <row r="431" spans="1:8" ht="12.75" customHeight="1">
      <c r="A431" s="22">
        <v>43724</v>
      </c>
      <c r="B431" s="22"/>
      <c r="C431" s="25">
        <f>ROUND(1.49770988646884,4)</f>
        <v>1.4977</v>
      </c>
      <c r="D431" s="25">
        <f>F431</f>
        <v>1.6788</v>
      </c>
      <c r="E431" s="25">
        <f>F431</f>
        <v>1.6788</v>
      </c>
      <c r="F431" s="25">
        <v>1.6788</v>
      </c>
      <c r="G431" s="24"/>
      <c r="H431" s="36"/>
    </row>
    <row r="432" spans="1:8" ht="12.75" customHeight="1">
      <c r="A432" s="22">
        <v>43812</v>
      </c>
      <c r="B432" s="22"/>
      <c r="C432" s="25">
        <f>ROUND(1.49770988646884,4)</f>
        <v>1.4977</v>
      </c>
      <c r="D432" s="25">
        <f>F432</f>
        <v>1.708</v>
      </c>
      <c r="E432" s="25">
        <f>F432</f>
        <v>1.708</v>
      </c>
      <c r="F432" s="25">
        <f>ROUND(1.708,4)</f>
        <v>1.708</v>
      </c>
      <c r="G432" s="24"/>
      <c r="H432" s="36"/>
    </row>
    <row r="433" spans="1:8" ht="12.75" customHeight="1">
      <c r="A433" s="22" t="s">
        <v>80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43178</v>
      </c>
      <c r="B434" s="22"/>
      <c r="C434" s="25">
        <f>ROUND(8.74727775,4)</f>
        <v>8.7473</v>
      </c>
      <c r="D434" s="25">
        <f>F434</f>
        <v>8.8371</v>
      </c>
      <c r="E434" s="25">
        <f>F434</f>
        <v>8.8371</v>
      </c>
      <c r="F434" s="25">
        <f>ROUND(8.8371,4)</f>
        <v>8.8371</v>
      </c>
      <c r="G434" s="24"/>
      <c r="H434" s="36"/>
    </row>
    <row r="435" spans="1:8" ht="12.75" customHeight="1">
      <c r="A435" s="22">
        <v>43269</v>
      </c>
      <c r="B435" s="22"/>
      <c r="C435" s="25">
        <f>ROUND(8.74727775,4)</f>
        <v>8.7473</v>
      </c>
      <c r="D435" s="25">
        <f>F435</f>
        <v>8.9456</v>
      </c>
      <c r="E435" s="25">
        <f>F435</f>
        <v>8.9456</v>
      </c>
      <c r="F435" s="25">
        <f>ROUND(8.9456,4)</f>
        <v>8.9456</v>
      </c>
      <c r="G435" s="24"/>
      <c r="H435" s="36"/>
    </row>
    <row r="436" spans="1:8" ht="12.75" customHeight="1">
      <c r="A436" s="22">
        <v>43360</v>
      </c>
      <c r="B436" s="22"/>
      <c r="C436" s="25">
        <f>ROUND(8.74727775,4)</f>
        <v>8.7473</v>
      </c>
      <c r="D436" s="25">
        <f>F436</f>
        <v>9.0551</v>
      </c>
      <c r="E436" s="25">
        <f>F436</f>
        <v>9.0551</v>
      </c>
      <c r="F436" s="25">
        <f>ROUND(9.0551,4)</f>
        <v>9.0551</v>
      </c>
      <c r="G436" s="24"/>
      <c r="H436" s="36"/>
    </row>
    <row r="437" spans="1:8" ht="12.75" customHeight="1">
      <c r="A437" s="22">
        <v>43448</v>
      </c>
      <c r="B437" s="22"/>
      <c r="C437" s="25">
        <f>ROUND(8.74727775,4)</f>
        <v>8.7473</v>
      </c>
      <c r="D437" s="25">
        <f>F437</f>
        <v>9.159</v>
      </c>
      <c r="E437" s="25">
        <f>F437</f>
        <v>9.159</v>
      </c>
      <c r="F437" s="25">
        <f>ROUND(9.159,4)</f>
        <v>9.159</v>
      </c>
      <c r="G437" s="24"/>
      <c r="H437" s="36"/>
    </row>
    <row r="438" spans="1:8" ht="12.75" customHeight="1">
      <c r="A438" s="22">
        <v>43542</v>
      </c>
      <c r="B438" s="22"/>
      <c r="C438" s="25">
        <f>ROUND(8.74727775,4)</f>
        <v>8.7473</v>
      </c>
      <c r="D438" s="25">
        <f>F438</f>
        <v>9.6301</v>
      </c>
      <c r="E438" s="25">
        <f>F438</f>
        <v>9.6301</v>
      </c>
      <c r="F438" s="25">
        <f>ROUND(9.6301,4)</f>
        <v>9.6301</v>
      </c>
      <c r="G438" s="24"/>
      <c r="H438" s="36"/>
    </row>
    <row r="439" spans="1:8" ht="12.75" customHeight="1">
      <c r="A439" s="22">
        <v>43630</v>
      </c>
      <c r="B439" s="22"/>
      <c r="C439" s="25">
        <f>ROUND(8.74727775,4)</f>
        <v>8.7473</v>
      </c>
      <c r="D439" s="25">
        <f>F439</f>
        <v>9.7644</v>
      </c>
      <c r="E439" s="25">
        <f>F439</f>
        <v>9.7644</v>
      </c>
      <c r="F439" s="25">
        <f>ROUND(9.7644,4)</f>
        <v>9.7644</v>
      </c>
      <c r="G439" s="24"/>
      <c r="H439" s="36"/>
    </row>
    <row r="440" spans="1:8" ht="12.75" customHeight="1">
      <c r="A440" s="22">
        <v>43724</v>
      </c>
      <c r="B440" s="22"/>
      <c r="C440" s="25">
        <f>ROUND(8.74727775,4)</f>
        <v>8.7473</v>
      </c>
      <c r="D440" s="25">
        <f>F440</f>
        <v>9.8936</v>
      </c>
      <c r="E440" s="25">
        <f>F440</f>
        <v>9.8936</v>
      </c>
      <c r="F440" s="25">
        <f>ROUND(9.8936,4)</f>
        <v>9.8936</v>
      </c>
      <c r="G440" s="24"/>
      <c r="H440" s="36"/>
    </row>
    <row r="441" spans="1:8" ht="12.75" customHeight="1">
      <c r="A441" s="22">
        <v>43812</v>
      </c>
      <c r="B441" s="22"/>
      <c r="C441" s="25">
        <f>ROUND(8.74727775,4)</f>
        <v>8.7473</v>
      </c>
      <c r="D441" s="25">
        <f>F441</f>
        <v>10.0319</v>
      </c>
      <c r="E441" s="25">
        <f>F441</f>
        <v>10.0319</v>
      </c>
      <c r="F441" s="25">
        <f>ROUND(10.0319,4)</f>
        <v>10.0319</v>
      </c>
      <c r="G441" s="24"/>
      <c r="H441" s="36"/>
    </row>
    <row r="442" spans="1:8" ht="12.75" customHeight="1">
      <c r="A442" s="22" t="s">
        <v>81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43178</v>
      </c>
      <c r="B443" s="22"/>
      <c r="C443" s="25">
        <f>ROUND(9.20353319859271,4)</f>
        <v>9.2035</v>
      </c>
      <c r="D443" s="25">
        <f>F443</f>
        <v>9.3174</v>
      </c>
      <c r="E443" s="25">
        <f>F443</f>
        <v>9.3174</v>
      </c>
      <c r="F443" s="25">
        <f>ROUND(9.3174,4)</f>
        <v>9.3174</v>
      </c>
      <c r="G443" s="24"/>
      <c r="H443" s="36"/>
    </row>
    <row r="444" spans="1:8" ht="12.75" customHeight="1">
      <c r="A444" s="22">
        <v>43269</v>
      </c>
      <c r="B444" s="22"/>
      <c r="C444" s="25">
        <f>ROUND(9.20353319859271,4)</f>
        <v>9.2035</v>
      </c>
      <c r="D444" s="25">
        <f>F444</f>
        <v>9.4541</v>
      </c>
      <c r="E444" s="25">
        <f>F444</f>
        <v>9.4541</v>
      </c>
      <c r="F444" s="25">
        <f>ROUND(9.4541,4)</f>
        <v>9.4541</v>
      </c>
      <c r="G444" s="24"/>
      <c r="H444" s="36"/>
    </row>
    <row r="445" spans="1:8" ht="12.75" customHeight="1">
      <c r="A445" s="22">
        <v>43360</v>
      </c>
      <c r="B445" s="22"/>
      <c r="C445" s="25">
        <f>ROUND(9.20353319859271,4)</f>
        <v>9.2035</v>
      </c>
      <c r="D445" s="25">
        <f>F445</f>
        <v>9.5906</v>
      </c>
      <c r="E445" s="25">
        <f>F445</f>
        <v>9.5906</v>
      </c>
      <c r="F445" s="25">
        <f>ROUND(9.5906,4)</f>
        <v>9.5906</v>
      </c>
      <c r="G445" s="24"/>
      <c r="H445" s="36"/>
    </row>
    <row r="446" spans="1:8" ht="12.75" customHeight="1">
      <c r="A446" s="22">
        <v>43448</v>
      </c>
      <c r="B446" s="22"/>
      <c r="C446" s="25">
        <f>ROUND(9.20353319859271,4)</f>
        <v>9.2035</v>
      </c>
      <c r="D446" s="25">
        <f>F446</f>
        <v>9.722</v>
      </c>
      <c r="E446" s="25">
        <f>F446</f>
        <v>9.722</v>
      </c>
      <c r="F446" s="25">
        <f>ROUND(9.722,4)</f>
        <v>9.722</v>
      </c>
      <c r="G446" s="24"/>
      <c r="H446" s="36"/>
    </row>
    <row r="447" spans="1:8" ht="12.75" customHeight="1">
      <c r="A447" s="22">
        <v>43542</v>
      </c>
      <c r="B447" s="22"/>
      <c r="C447" s="25">
        <f>ROUND(9.20353319859271,4)</f>
        <v>9.2035</v>
      </c>
      <c r="D447" s="25">
        <f>F447</f>
        <v>10.2454</v>
      </c>
      <c r="E447" s="25">
        <f>F447</f>
        <v>10.2454</v>
      </c>
      <c r="F447" s="25">
        <f>ROUND(10.2454,4)</f>
        <v>10.2454</v>
      </c>
      <c r="G447" s="24"/>
      <c r="H447" s="36"/>
    </row>
    <row r="448" spans="1:8" ht="12.75" customHeight="1">
      <c r="A448" s="22">
        <v>43630</v>
      </c>
      <c r="B448" s="22"/>
      <c r="C448" s="25">
        <f>ROUND(9.20353319859271,4)</f>
        <v>9.2035</v>
      </c>
      <c r="D448" s="25">
        <f>F448</f>
        <v>10.4105</v>
      </c>
      <c r="E448" s="25">
        <f>F448</f>
        <v>10.4105</v>
      </c>
      <c r="F448" s="25">
        <f>ROUND(10.4105,4)</f>
        <v>10.4105</v>
      </c>
      <c r="G448" s="24"/>
      <c r="H448" s="36"/>
    </row>
    <row r="449" spans="1:8" ht="12.75" customHeight="1">
      <c r="A449" s="22">
        <v>43724</v>
      </c>
      <c r="B449" s="22"/>
      <c r="C449" s="25">
        <f>ROUND(9.20353319859271,4)</f>
        <v>9.2035</v>
      </c>
      <c r="D449" s="25">
        <f>F449</f>
        <v>10.5722</v>
      </c>
      <c r="E449" s="25">
        <f>F449</f>
        <v>10.5722</v>
      </c>
      <c r="F449" s="25">
        <f>ROUND(10.5722,4)</f>
        <v>10.5722</v>
      </c>
      <c r="G449" s="24"/>
      <c r="H449" s="36"/>
    </row>
    <row r="450" spans="1:8" ht="12.75" customHeight="1">
      <c r="A450" s="22">
        <v>43812</v>
      </c>
      <c r="B450" s="22"/>
      <c r="C450" s="25">
        <f>ROUND(9.20353319859271,4)</f>
        <v>9.2035</v>
      </c>
      <c r="D450" s="25">
        <f>F450</f>
        <v>10.7432</v>
      </c>
      <c r="E450" s="25">
        <f>F450</f>
        <v>10.7432</v>
      </c>
      <c r="F450" s="25">
        <f>ROUND(10.7432,4)</f>
        <v>10.7432</v>
      </c>
      <c r="G450" s="24"/>
      <c r="H450" s="36"/>
    </row>
    <row r="451" spans="1:8" ht="12.75" customHeight="1">
      <c r="A451" s="22" t="s">
        <v>82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43178</v>
      </c>
      <c r="B452" s="22"/>
      <c r="C452" s="25">
        <f>ROUND(3.26343729263437,4)</f>
        <v>3.2634</v>
      </c>
      <c r="D452" s="25">
        <f>F452</f>
        <v>3.228</v>
      </c>
      <c r="E452" s="25">
        <f>F452</f>
        <v>3.228</v>
      </c>
      <c r="F452" s="25">
        <f>ROUND(3.228,4)</f>
        <v>3.228</v>
      </c>
      <c r="G452" s="24"/>
      <c r="H452" s="36"/>
    </row>
    <row r="453" spans="1:8" ht="12.75" customHeight="1">
      <c r="A453" s="22">
        <v>43269</v>
      </c>
      <c r="B453" s="22"/>
      <c r="C453" s="25">
        <f>ROUND(3.26343729263437,4)</f>
        <v>3.2634</v>
      </c>
      <c r="D453" s="25">
        <f>F453</f>
        <v>3.1806</v>
      </c>
      <c r="E453" s="25">
        <f>F453</f>
        <v>3.1806</v>
      </c>
      <c r="F453" s="25">
        <f>ROUND(3.1806,4)</f>
        <v>3.1806</v>
      </c>
      <c r="G453" s="24"/>
      <c r="H453" s="36"/>
    </row>
    <row r="454" spans="1:8" ht="12.75" customHeight="1">
      <c r="A454" s="22">
        <v>43360</v>
      </c>
      <c r="B454" s="22"/>
      <c r="C454" s="25">
        <f>ROUND(3.26343729263437,4)</f>
        <v>3.2634</v>
      </c>
      <c r="D454" s="25">
        <f>F454</f>
        <v>3.1335</v>
      </c>
      <c r="E454" s="25">
        <f>F454</f>
        <v>3.1335</v>
      </c>
      <c r="F454" s="25">
        <f>ROUND(3.1335,4)</f>
        <v>3.1335</v>
      </c>
      <c r="G454" s="24"/>
      <c r="H454" s="36"/>
    </row>
    <row r="455" spans="1:8" ht="12.75" customHeight="1">
      <c r="A455" s="22">
        <v>43448</v>
      </c>
      <c r="B455" s="22"/>
      <c r="C455" s="25">
        <f>ROUND(3.26343729263437,4)</f>
        <v>3.2634</v>
      </c>
      <c r="D455" s="25">
        <f>F455</f>
        <v>3.0887</v>
      </c>
      <c r="E455" s="25">
        <f>F455</f>
        <v>3.0887</v>
      </c>
      <c r="F455" s="25">
        <f>ROUND(3.0887,4)</f>
        <v>3.0887</v>
      </c>
      <c r="G455" s="24"/>
      <c r="H455" s="36"/>
    </row>
    <row r="456" spans="1:8" ht="12.75" customHeight="1">
      <c r="A456" s="22">
        <v>43542</v>
      </c>
      <c r="B456" s="22"/>
      <c r="C456" s="25">
        <f>ROUND(3.26343729263437,4)</f>
        <v>3.2634</v>
      </c>
      <c r="D456" s="25">
        <f>F456</f>
        <v>3.1643</v>
      </c>
      <c r="E456" s="25">
        <f>F456</f>
        <v>3.1643</v>
      </c>
      <c r="F456" s="25">
        <f>ROUND(3.1643,4)</f>
        <v>3.1643</v>
      </c>
      <c r="G456" s="24"/>
      <c r="H456" s="36"/>
    </row>
    <row r="457" spans="1:8" ht="12.75" customHeight="1">
      <c r="A457" s="22">
        <v>43630</v>
      </c>
      <c r="B457" s="22"/>
      <c r="C457" s="25">
        <f>ROUND(3.26343729263437,4)</f>
        <v>3.2634</v>
      </c>
      <c r="D457" s="25">
        <f>F457</f>
        <v>3.1332</v>
      </c>
      <c r="E457" s="25">
        <f>F457</f>
        <v>3.1332</v>
      </c>
      <c r="F457" s="25">
        <f>ROUND(3.1332,4)</f>
        <v>3.1332</v>
      </c>
      <c r="G457" s="24"/>
      <c r="H457" s="36"/>
    </row>
    <row r="458" spans="1:8" ht="12.75" customHeight="1">
      <c r="A458" s="22">
        <v>43724</v>
      </c>
      <c r="B458" s="22"/>
      <c r="C458" s="25">
        <f>ROUND(3.26343729263437,4)</f>
        <v>3.2634</v>
      </c>
      <c r="D458" s="25">
        <f>F458</f>
        <v>3.0972</v>
      </c>
      <c r="E458" s="25">
        <f>F458</f>
        <v>3.0972</v>
      </c>
      <c r="F458" s="25">
        <f>ROUND(3.0972,4)</f>
        <v>3.0972</v>
      </c>
      <c r="G458" s="24"/>
      <c r="H458" s="36"/>
    </row>
    <row r="459" spans="1:8" ht="12.75" customHeight="1">
      <c r="A459" s="22">
        <v>43812</v>
      </c>
      <c r="B459" s="22"/>
      <c r="C459" s="25">
        <f>ROUND(3.26343729263437,4)</f>
        <v>3.2634</v>
      </c>
      <c r="D459" s="25">
        <f>F459</f>
        <v>3.0704</v>
      </c>
      <c r="E459" s="25">
        <f>F459</f>
        <v>3.0704</v>
      </c>
      <c r="F459" s="25">
        <f>ROUND(3.0704,4)</f>
        <v>3.0704</v>
      </c>
      <c r="G459" s="24"/>
      <c r="H459" s="36"/>
    </row>
    <row r="460" spans="1:8" ht="12.75" customHeight="1">
      <c r="A460" s="22" t="s">
        <v>83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43178</v>
      </c>
      <c r="B461" s="22"/>
      <c r="C461" s="25">
        <f>ROUND(12.295,4)</f>
        <v>12.295</v>
      </c>
      <c r="D461" s="25">
        <f>F461</f>
        <v>12.4327</v>
      </c>
      <c r="E461" s="25">
        <f>F461</f>
        <v>12.4327</v>
      </c>
      <c r="F461" s="25">
        <f>ROUND(12.4327,4)</f>
        <v>12.4327</v>
      </c>
      <c r="G461" s="24"/>
      <c r="H461" s="36"/>
    </row>
    <row r="462" spans="1:8" ht="12.75" customHeight="1">
      <c r="A462" s="22">
        <v>43269</v>
      </c>
      <c r="B462" s="22"/>
      <c r="C462" s="25">
        <f>ROUND(12.295,4)</f>
        <v>12.295</v>
      </c>
      <c r="D462" s="25">
        <f>F462</f>
        <v>12.5956</v>
      </c>
      <c r="E462" s="25">
        <f>F462</f>
        <v>12.5956</v>
      </c>
      <c r="F462" s="25">
        <f>ROUND(12.5956,4)</f>
        <v>12.5956</v>
      </c>
      <c r="G462" s="24"/>
      <c r="H462" s="36"/>
    </row>
    <row r="463" spans="1:8" ht="12.75" customHeight="1">
      <c r="A463" s="22">
        <v>43360</v>
      </c>
      <c r="B463" s="22"/>
      <c r="C463" s="25">
        <f>ROUND(12.295,4)</f>
        <v>12.295</v>
      </c>
      <c r="D463" s="25">
        <f>F463</f>
        <v>12.7563</v>
      </c>
      <c r="E463" s="25">
        <f>F463</f>
        <v>12.7563</v>
      </c>
      <c r="F463" s="25">
        <f>ROUND(12.7563,4)</f>
        <v>12.7563</v>
      </c>
      <c r="G463" s="24"/>
      <c r="H463" s="36"/>
    </row>
    <row r="464" spans="1:8" ht="12.75" customHeight="1">
      <c r="A464" s="22">
        <v>43448</v>
      </c>
      <c r="B464" s="22"/>
      <c r="C464" s="25">
        <f>ROUND(12.295,4)</f>
        <v>12.295</v>
      </c>
      <c r="D464" s="25">
        <f>F464</f>
        <v>12.9088</v>
      </c>
      <c r="E464" s="25">
        <f>F464</f>
        <v>12.9088</v>
      </c>
      <c r="F464" s="25">
        <f>ROUND(12.9088,4)</f>
        <v>12.9088</v>
      </c>
      <c r="G464" s="24"/>
      <c r="H464" s="36"/>
    </row>
    <row r="465" spans="1:8" ht="12.75" customHeight="1">
      <c r="A465" s="22">
        <v>43630</v>
      </c>
      <c r="B465" s="22"/>
      <c r="C465" s="25">
        <f>ROUND(12.295,4)</f>
        <v>12.295</v>
      </c>
      <c r="D465" s="25">
        <f>F465</f>
        <v>13.2423</v>
      </c>
      <c r="E465" s="25">
        <f>F465</f>
        <v>13.2423</v>
      </c>
      <c r="F465" s="25">
        <v>13.2423</v>
      </c>
      <c r="G465" s="24"/>
      <c r="H465" s="36"/>
    </row>
    <row r="466" spans="1:8" ht="12.75" customHeight="1">
      <c r="A466" s="22">
        <v>43724</v>
      </c>
      <c r="B466" s="22"/>
      <c r="C466" s="25">
        <f>ROUND(12.295,4)</f>
        <v>12.295</v>
      </c>
      <c r="D466" s="25">
        <f>F466</f>
        <v>13.4158</v>
      </c>
      <c r="E466" s="25">
        <f>F466</f>
        <v>13.4158</v>
      </c>
      <c r="F466" s="25">
        <v>13.4158</v>
      </c>
      <c r="G466" s="24"/>
      <c r="H466" s="36"/>
    </row>
    <row r="467" spans="1:8" ht="12.75" customHeight="1">
      <c r="A467" s="22">
        <v>43812</v>
      </c>
      <c r="B467" s="22"/>
      <c r="C467" s="25">
        <f>ROUND(12.295,4)</f>
        <v>12.295</v>
      </c>
      <c r="D467" s="25">
        <f>F467</f>
        <v>13.5782</v>
      </c>
      <c r="E467" s="25">
        <f>F467</f>
        <v>13.5782</v>
      </c>
      <c r="F467" s="25">
        <v>13.5782</v>
      </c>
      <c r="G467" s="24"/>
      <c r="H467" s="36"/>
    </row>
    <row r="468" spans="1:8" ht="12.75" customHeight="1">
      <c r="A468" s="22" t="s">
        <v>84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43178</v>
      </c>
      <c r="B469" s="22"/>
      <c r="C469" s="25">
        <f>ROUND(12.295,4)</f>
        <v>12.295</v>
      </c>
      <c r="D469" s="25">
        <f>F469</f>
        <v>12.4327</v>
      </c>
      <c r="E469" s="25">
        <f>F469</f>
        <v>12.4327</v>
      </c>
      <c r="F469" s="25">
        <f>ROUND(12.4327,4)</f>
        <v>12.4327</v>
      </c>
      <c r="G469" s="24"/>
      <c r="H469" s="36"/>
    </row>
    <row r="470" spans="1:8" ht="12.75" customHeight="1">
      <c r="A470" s="22">
        <v>43269</v>
      </c>
      <c r="B470" s="22"/>
      <c r="C470" s="25">
        <f>ROUND(12.295,4)</f>
        <v>12.295</v>
      </c>
      <c r="D470" s="25">
        <f>F470</f>
        <v>12.5956</v>
      </c>
      <c r="E470" s="25">
        <f>F470</f>
        <v>12.5956</v>
      </c>
      <c r="F470" s="25">
        <f>ROUND(12.5956,4)</f>
        <v>12.5956</v>
      </c>
      <c r="G470" s="24"/>
      <c r="H470" s="36"/>
    </row>
    <row r="471" spans="1:8" ht="12.75" customHeight="1">
      <c r="A471" s="22">
        <v>43360</v>
      </c>
      <c r="B471" s="22"/>
      <c r="C471" s="25">
        <f>ROUND(12.295,4)</f>
        <v>12.295</v>
      </c>
      <c r="D471" s="25">
        <f>F471</f>
        <v>12.7563</v>
      </c>
      <c r="E471" s="25">
        <f>F471</f>
        <v>12.7563</v>
      </c>
      <c r="F471" s="25">
        <f>ROUND(12.7563,4)</f>
        <v>12.7563</v>
      </c>
      <c r="G471" s="24"/>
      <c r="H471" s="36"/>
    </row>
    <row r="472" spans="1:8" ht="12.75" customHeight="1">
      <c r="A472" s="22">
        <v>43448</v>
      </c>
      <c r="B472" s="22"/>
      <c r="C472" s="25">
        <f>ROUND(12.295,4)</f>
        <v>12.295</v>
      </c>
      <c r="D472" s="25">
        <f>F472</f>
        <v>12.9088</v>
      </c>
      <c r="E472" s="25">
        <f>F472</f>
        <v>12.9088</v>
      </c>
      <c r="F472" s="25">
        <f>ROUND(12.9088,4)</f>
        <v>12.9088</v>
      </c>
      <c r="G472" s="24"/>
      <c r="H472" s="36"/>
    </row>
    <row r="473" spans="1:8" ht="12.75" customHeight="1">
      <c r="A473" s="22">
        <v>43542</v>
      </c>
      <c r="B473" s="22"/>
      <c r="C473" s="25">
        <f>ROUND(12.295,4)</f>
        <v>12.295</v>
      </c>
      <c r="D473" s="25">
        <f>F473</f>
        <v>13.0799</v>
      </c>
      <c r="E473" s="25">
        <f>F473</f>
        <v>13.0799</v>
      </c>
      <c r="F473" s="25">
        <f>ROUND(13.0799,4)</f>
        <v>13.0799</v>
      </c>
      <c r="G473" s="24"/>
      <c r="H473" s="36"/>
    </row>
    <row r="474" spans="1:8" ht="12.75" customHeight="1">
      <c r="A474" s="22">
        <v>43630</v>
      </c>
      <c r="B474" s="22"/>
      <c r="C474" s="25">
        <f>ROUND(12.295,4)</f>
        <v>12.295</v>
      </c>
      <c r="D474" s="25">
        <f>F474</f>
        <v>13.2423</v>
      </c>
      <c r="E474" s="25">
        <f>F474</f>
        <v>13.2423</v>
      </c>
      <c r="F474" s="25">
        <f>ROUND(13.2423,4)</f>
        <v>13.2423</v>
      </c>
      <c r="G474" s="24"/>
      <c r="H474" s="36"/>
    </row>
    <row r="475" spans="1:8" ht="12.75" customHeight="1">
      <c r="A475" s="22">
        <v>43724</v>
      </c>
      <c r="B475" s="22"/>
      <c r="C475" s="25">
        <f>ROUND(12.295,4)</f>
        <v>12.295</v>
      </c>
      <c r="D475" s="25">
        <f>F475</f>
        <v>13.4158</v>
      </c>
      <c r="E475" s="25">
        <f>F475</f>
        <v>13.4158</v>
      </c>
      <c r="F475" s="25">
        <f>ROUND(13.4158,4)</f>
        <v>13.4158</v>
      </c>
      <c r="G475" s="24"/>
      <c r="H475" s="36"/>
    </row>
    <row r="476" spans="1:8" ht="12.75" customHeight="1">
      <c r="A476" s="22">
        <v>43812</v>
      </c>
      <c r="B476" s="22"/>
      <c r="C476" s="25">
        <f>ROUND(12.295,4)</f>
        <v>12.295</v>
      </c>
      <c r="D476" s="25">
        <f>F476</f>
        <v>13.5782</v>
      </c>
      <c r="E476" s="25">
        <f>F476</f>
        <v>13.5782</v>
      </c>
      <c r="F476" s="25">
        <f>ROUND(13.5782,4)</f>
        <v>13.5782</v>
      </c>
      <c r="G476" s="24"/>
      <c r="H476" s="36"/>
    </row>
    <row r="477" spans="1:8" ht="12.75" customHeight="1">
      <c r="A477" s="22">
        <v>43906</v>
      </c>
      <c r="B477" s="22"/>
      <c r="C477" s="25">
        <f>ROUND(12.295,4)</f>
        <v>12.295</v>
      </c>
      <c r="D477" s="25">
        <f>F477</f>
        <v>13.7728</v>
      </c>
      <c r="E477" s="25">
        <f>F477</f>
        <v>13.7728</v>
      </c>
      <c r="F477" s="25">
        <f>ROUND(13.7728,4)</f>
        <v>13.7728</v>
      </c>
      <c r="G477" s="24"/>
      <c r="H477" s="36"/>
    </row>
    <row r="478" spans="1:8" ht="12.75" customHeight="1">
      <c r="A478" s="22">
        <v>43994</v>
      </c>
      <c r="B478" s="22"/>
      <c r="C478" s="25">
        <f>ROUND(12.295,4)</f>
        <v>12.295</v>
      </c>
      <c r="D478" s="25">
        <f>F478</f>
        <v>13.9606</v>
      </c>
      <c r="E478" s="25">
        <f>F478</f>
        <v>13.9606</v>
      </c>
      <c r="F478" s="25">
        <f>ROUND(13.9606,4)</f>
        <v>13.9606</v>
      </c>
      <c r="G478" s="24"/>
      <c r="H478" s="36"/>
    </row>
    <row r="479" spans="1:8" ht="12.75" customHeight="1">
      <c r="A479" s="22">
        <v>44088</v>
      </c>
      <c r="B479" s="22"/>
      <c r="C479" s="25">
        <f>ROUND(12.295,4)</f>
        <v>12.295</v>
      </c>
      <c r="D479" s="25">
        <f>F479</f>
        <v>14.1612</v>
      </c>
      <c r="E479" s="25">
        <f>F479</f>
        <v>14.1612</v>
      </c>
      <c r="F479" s="25">
        <f>ROUND(14.1612,4)</f>
        <v>14.1612</v>
      </c>
      <c r="G479" s="24"/>
      <c r="H479" s="36"/>
    </row>
    <row r="480" spans="1:8" ht="12.75" customHeight="1">
      <c r="A480" s="22">
        <v>44179</v>
      </c>
      <c r="B480" s="22"/>
      <c r="C480" s="25">
        <f>ROUND(12.295,4)</f>
        <v>12.295</v>
      </c>
      <c r="D480" s="25">
        <f>F480</f>
        <v>14.3554</v>
      </c>
      <c r="E480" s="25">
        <f>F480</f>
        <v>14.3554</v>
      </c>
      <c r="F480" s="25">
        <f>ROUND(14.3554,4)</f>
        <v>14.3554</v>
      </c>
      <c r="G480" s="24"/>
      <c r="H480" s="36"/>
    </row>
    <row r="481" spans="1:8" ht="12.75" customHeight="1">
      <c r="A481" s="22">
        <v>44270</v>
      </c>
      <c r="B481" s="22"/>
      <c r="C481" s="25">
        <f>ROUND(12.295,4)</f>
        <v>12.295</v>
      </c>
      <c r="D481" s="25">
        <f>F481</f>
        <v>14.5496</v>
      </c>
      <c r="E481" s="25">
        <f>F481</f>
        <v>14.5496</v>
      </c>
      <c r="F481" s="25">
        <f>ROUND(14.5496,4)</f>
        <v>14.5496</v>
      </c>
      <c r="G481" s="24"/>
      <c r="H481" s="36"/>
    </row>
    <row r="482" spans="1:8" ht="12.75" customHeight="1">
      <c r="A482" s="22" t="s">
        <v>85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43178</v>
      </c>
      <c r="B483" s="22"/>
      <c r="C483" s="25">
        <f>ROUND(1.23097717260713,4)</f>
        <v>1.231</v>
      </c>
      <c r="D483" s="25">
        <f>F483</f>
        <v>1.2139</v>
      </c>
      <c r="E483" s="25">
        <f>F483</f>
        <v>1.2139</v>
      </c>
      <c r="F483" s="25">
        <f>ROUND(1.2139,4)</f>
        <v>1.2139</v>
      </c>
      <c r="G483" s="24"/>
      <c r="H483" s="36"/>
    </row>
    <row r="484" spans="1:8" ht="12.75" customHeight="1">
      <c r="A484" s="22">
        <v>43269</v>
      </c>
      <c r="B484" s="22"/>
      <c r="C484" s="25">
        <f>ROUND(1.23097717260713,4)</f>
        <v>1.231</v>
      </c>
      <c r="D484" s="25">
        <f>F484</f>
        <v>1.1934</v>
      </c>
      <c r="E484" s="25">
        <f>F484</f>
        <v>1.1934</v>
      </c>
      <c r="F484" s="25">
        <f>ROUND(1.1934,4)</f>
        <v>1.1934</v>
      </c>
      <c r="G484" s="24"/>
      <c r="H484" s="36"/>
    </row>
    <row r="485" spans="1:8" ht="12.75" customHeight="1">
      <c r="A485" s="22">
        <v>43360</v>
      </c>
      <c r="B485" s="22"/>
      <c r="C485" s="25">
        <f>ROUND(1.23097717260713,4)</f>
        <v>1.231</v>
      </c>
      <c r="D485" s="25">
        <f>F485</f>
        <v>1.1758</v>
      </c>
      <c r="E485" s="25">
        <f>F485</f>
        <v>1.1758</v>
      </c>
      <c r="F485" s="25">
        <f>ROUND(1.1758,4)</f>
        <v>1.1758</v>
      </c>
      <c r="G485" s="24"/>
      <c r="H485" s="36"/>
    </row>
    <row r="486" spans="1:8" ht="12.75" customHeight="1">
      <c r="A486" s="22">
        <v>43448</v>
      </c>
      <c r="B486" s="22"/>
      <c r="C486" s="25">
        <f>ROUND(1.23097717260713,4)</f>
        <v>1.231</v>
      </c>
      <c r="D486" s="25">
        <f>F486</f>
        <v>1.1575</v>
      </c>
      <c r="E486" s="25">
        <f>F486</f>
        <v>1.1575</v>
      </c>
      <c r="F486" s="25">
        <f>ROUND(1.1575,4)</f>
        <v>1.1575</v>
      </c>
      <c r="G486" s="24"/>
      <c r="H486" s="36"/>
    </row>
    <row r="487" spans="1:8" ht="12.75" customHeight="1">
      <c r="A487" s="22">
        <v>43542</v>
      </c>
      <c r="B487" s="22"/>
      <c r="C487" s="25">
        <f>ROUND(1.23097717260713,4)</f>
        <v>1.231</v>
      </c>
      <c r="D487" s="25">
        <f>F487</f>
        <v>1.1391</v>
      </c>
      <c r="E487" s="25">
        <f>F487</f>
        <v>1.1391</v>
      </c>
      <c r="F487" s="25">
        <f>ROUND(1.1391,4)</f>
        <v>1.1391</v>
      </c>
      <c r="G487" s="24"/>
      <c r="H487" s="36"/>
    </row>
    <row r="488" spans="1:8" ht="12.75" customHeight="1">
      <c r="A488" s="22">
        <v>43630</v>
      </c>
      <c r="B488" s="22"/>
      <c r="C488" s="25">
        <f>ROUND(1.23097717260713,4)</f>
        <v>1.231</v>
      </c>
      <c r="D488" s="25">
        <f>F488</f>
        <v>1.2164</v>
      </c>
      <c r="E488" s="25">
        <f>F488</f>
        <v>1.2164</v>
      </c>
      <c r="F488" s="25">
        <f>ROUND(1.2164,4)</f>
        <v>1.2164</v>
      </c>
      <c r="G488" s="24"/>
      <c r="H488" s="36"/>
    </row>
    <row r="489" spans="1:8" ht="12.75" customHeight="1">
      <c r="A489" s="22">
        <v>43724</v>
      </c>
      <c r="B489" s="22"/>
      <c r="C489" s="25">
        <f>ROUND(1.23097717260713,4)</f>
        <v>1.231</v>
      </c>
      <c r="D489" s="25">
        <f>F489</f>
        <v>1.2269</v>
      </c>
      <c r="E489" s="25">
        <f>F489</f>
        <v>1.2269</v>
      </c>
      <c r="F489" s="25">
        <f>ROUND(1.2269,4)</f>
        <v>1.2269</v>
      </c>
      <c r="G489" s="24"/>
      <c r="H489" s="36"/>
    </row>
    <row r="490" spans="1:8" ht="12.75" customHeight="1">
      <c r="A490" s="22" t="s">
        <v>86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43132</v>
      </c>
      <c r="B491" s="22"/>
      <c r="C491" s="27">
        <f>ROUND(638.753,3)</f>
        <v>638.753</v>
      </c>
      <c r="D491" s="27">
        <f>F491</f>
        <v>643.108</v>
      </c>
      <c r="E491" s="27">
        <f>F491</f>
        <v>643.108</v>
      </c>
      <c r="F491" s="27">
        <f>ROUND(643.108,3)</f>
        <v>643.108</v>
      </c>
      <c r="G491" s="24"/>
      <c r="H491" s="36"/>
    </row>
    <row r="492" spans="1:8" ht="12.75" customHeight="1">
      <c r="A492" s="22">
        <v>43223</v>
      </c>
      <c r="B492" s="22"/>
      <c r="C492" s="27">
        <f>ROUND(638.753,3)</f>
        <v>638.753</v>
      </c>
      <c r="D492" s="27">
        <f>F492</f>
        <v>655.127</v>
      </c>
      <c r="E492" s="27">
        <f>F492</f>
        <v>655.127</v>
      </c>
      <c r="F492" s="27">
        <f>ROUND(655.127,3)</f>
        <v>655.127</v>
      </c>
      <c r="G492" s="24"/>
      <c r="H492" s="36"/>
    </row>
    <row r="493" spans="1:8" ht="12.75" customHeight="1">
      <c r="A493" s="22">
        <v>43314</v>
      </c>
      <c r="B493" s="22"/>
      <c r="C493" s="27">
        <f>ROUND(638.753,3)</f>
        <v>638.753</v>
      </c>
      <c r="D493" s="27">
        <f>F493</f>
        <v>667.44</v>
      </c>
      <c r="E493" s="27">
        <f>F493</f>
        <v>667.44</v>
      </c>
      <c r="F493" s="27">
        <f>ROUND(667.44,3)</f>
        <v>667.44</v>
      </c>
      <c r="G493" s="24"/>
      <c r="H493" s="36"/>
    </row>
    <row r="494" spans="1:8" ht="12.75" customHeight="1">
      <c r="A494" s="22">
        <v>43405</v>
      </c>
      <c r="B494" s="22"/>
      <c r="C494" s="27">
        <f>ROUND(638.753,3)</f>
        <v>638.753</v>
      </c>
      <c r="D494" s="27">
        <f>F494</f>
        <v>680.344</v>
      </c>
      <c r="E494" s="27">
        <f>F494</f>
        <v>680.344</v>
      </c>
      <c r="F494" s="27">
        <f>ROUND(680.344,3)</f>
        <v>680.344</v>
      </c>
      <c r="G494" s="24"/>
      <c r="H494" s="36"/>
    </row>
    <row r="495" spans="1:8" ht="12.75" customHeight="1">
      <c r="A495" s="22" t="s">
        <v>87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43132</v>
      </c>
      <c r="B496" s="22"/>
      <c r="C496" s="27">
        <f>ROUND(565.637,3)</f>
        <v>565.637</v>
      </c>
      <c r="D496" s="27">
        <f>F496</f>
        <v>569.493</v>
      </c>
      <c r="E496" s="27">
        <f>F496</f>
        <v>569.493</v>
      </c>
      <c r="F496" s="27">
        <f>ROUND(569.493,3)</f>
        <v>569.493</v>
      </c>
      <c r="G496" s="24"/>
      <c r="H496" s="36"/>
    </row>
    <row r="497" spans="1:8" ht="12.75" customHeight="1">
      <c r="A497" s="22">
        <v>43223</v>
      </c>
      <c r="B497" s="22"/>
      <c r="C497" s="27">
        <f>ROUND(565.637,3)</f>
        <v>565.637</v>
      </c>
      <c r="D497" s="27">
        <f>F497</f>
        <v>580.136</v>
      </c>
      <c r="E497" s="27">
        <f>F497</f>
        <v>580.136</v>
      </c>
      <c r="F497" s="27">
        <f>ROUND(580.136,3)</f>
        <v>580.136</v>
      </c>
      <c r="G497" s="24"/>
      <c r="H497" s="36"/>
    </row>
    <row r="498" spans="1:8" ht="12.75" customHeight="1">
      <c r="A498" s="22">
        <v>43314</v>
      </c>
      <c r="B498" s="22"/>
      <c r="C498" s="27">
        <f>ROUND(565.637,3)</f>
        <v>565.637</v>
      </c>
      <c r="D498" s="27">
        <f>F498</f>
        <v>591.04</v>
      </c>
      <c r="E498" s="27">
        <f>F498</f>
        <v>591.04</v>
      </c>
      <c r="F498" s="27">
        <f>ROUND(591.04,3)</f>
        <v>591.04</v>
      </c>
      <c r="G498" s="24"/>
      <c r="H498" s="36"/>
    </row>
    <row r="499" spans="1:8" ht="12.75" customHeight="1">
      <c r="A499" s="22">
        <v>43405</v>
      </c>
      <c r="B499" s="22"/>
      <c r="C499" s="27">
        <f>ROUND(565.637,3)</f>
        <v>565.637</v>
      </c>
      <c r="D499" s="27">
        <f>F499</f>
        <v>602.468</v>
      </c>
      <c r="E499" s="27">
        <f>F499</f>
        <v>602.468</v>
      </c>
      <c r="F499" s="27">
        <f>ROUND(602.468,3)</f>
        <v>602.468</v>
      </c>
      <c r="G499" s="24"/>
      <c r="H499" s="36"/>
    </row>
    <row r="500" spans="1:8" ht="12.75" customHeight="1">
      <c r="A500" s="22" t="s">
        <v>88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43132</v>
      </c>
      <c r="B501" s="22"/>
      <c r="C501" s="27">
        <f>ROUND(652.109,3)</f>
        <v>652.109</v>
      </c>
      <c r="D501" s="27">
        <f>F501</f>
        <v>656.555</v>
      </c>
      <c r="E501" s="27">
        <f>F501</f>
        <v>656.555</v>
      </c>
      <c r="F501" s="27">
        <f>ROUND(656.555,3)</f>
        <v>656.555</v>
      </c>
      <c r="G501" s="24"/>
      <c r="H501" s="36"/>
    </row>
    <row r="502" spans="1:8" ht="12.75" customHeight="1">
      <c r="A502" s="22">
        <v>43223</v>
      </c>
      <c r="B502" s="22"/>
      <c r="C502" s="27">
        <f>ROUND(652.109,3)</f>
        <v>652.109</v>
      </c>
      <c r="D502" s="27">
        <f>F502</f>
        <v>668.825</v>
      </c>
      <c r="E502" s="27">
        <f>F502</f>
        <v>668.825</v>
      </c>
      <c r="F502" s="27">
        <f>ROUND(668.825,3)</f>
        <v>668.825</v>
      </c>
      <c r="G502" s="24"/>
      <c r="H502" s="36"/>
    </row>
    <row r="503" spans="1:8" ht="12.75" customHeight="1">
      <c r="A503" s="22">
        <v>43314</v>
      </c>
      <c r="B503" s="22"/>
      <c r="C503" s="27">
        <f>ROUND(652.109,3)</f>
        <v>652.109</v>
      </c>
      <c r="D503" s="27">
        <f>F503</f>
        <v>681.395</v>
      </c>
      <c r="E503" s="27">
        <f>F503</f>
        <v>681.395</v>
      </c>
      <c r="F503" s="27">
        <f>ROUND(681.395,3)</f>
        <v>681.395</v>
      </c>
      <c r="G503" s="24"/>
      <c r="H503" s="36"/>
    </row>
    <row r="504" spans="1:8" ht="12.75" customHeight="1">
      <c r="A504" s="22">
        <v>43405</v>
      </c>
      <c r="B504" s="22"/>
      <c r="C504" s="27">
        <f>ROUND(652.109,3)</f>
        <v>652.109</v>
      </c>
      <c r="D504" s="27">
        <f>F504</f>
        <v>694.57</v>
      </c>
      <c r="E504" s="27">
        <f>F504</f>
        <v>694.57</v>
      </c>
      <c r="F504" s="27">
        <f>ROUND(694.57,3)</f>
        <v>694.57</v>
      </c>
      <c r="G504" s="24"/>
      <c r="H504" s="36"/>
    </row>
    <row r="505" spans="1:8" ht="12.75" customHeight="1">
      <c r="A505" s="22" t="s">
        <v>89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43132</v>
      </c>
      <c r="B506" s="22"/>
      <c r="C506" s="27">
        <f>ROUND(587.678,3)</f>
        <v>587.678</v>
      </c>
      <c r="D506" s="27">
        <f>F506</f>
        <v>591.685</v>
      </c>
      <c r="E506" s="27">
        <f>F506</f>
        <v>591.685</v>
      </c>
      <c r="F506" s="27">
        <f>ROUND(591.685,3)</f>
        <v>591.685</v>
      </c>
      <c r="G506" s="24"/>
      <c r="H506" s="36"/>
    </row>
    <row r="507" spans="1:8" ht="12.75" customHeight="1">
      <c r="A507" s="22">
        <v>43223</v>
      </c>
      <c r="B507" s="22"/>
      <c r="C507" s="27">
        <f>ROUND(587.678,3)</f>
        <v>587.678</v>
      </c>
      <c r="D507" s="27">
        <f>F507</f>
        <v>602.742</v>
      </c>
      <c r="E507" s="27">
        <f>F507</f>
        <v>602.742</v>
      </c>
      <c r="F507" s="27">
        <f>ROUND(602.742,3)</f>
        <v>602.742</v>
      </c>
      <c r="G507" s="24"/>
      <c r="H507" s="36"/>
    </row>
    <row r="508" spans="1:8" ht="12.75" customHeight="1">
      <c r="A508" s="22">
        <v>43314</v>
      </c>
      <c r="B508" s="22"/>
      <c r="C508" s="27">
        <f>ROUND(587.678,3)</f>
        <v>587.678</v>
      </c>
      <c r="D508" s="27">
        <f>F508</f>
        <v>614.071</v>
      </c>
      <c r="E508" s="27">
        <f>F508</f>
        <v>614.071</v>
      </c>
      <c r="F508" s="27">
        <f>ROUND(614.071,3)</f>
        <v>614.071</v>
      </c>
      <c r="G508" s="24"/>
      <c r="H508" s="36"/>
    </row>
    <row r="509" spans="1:8" ht="12.75" customHeight="1">
      <c r="A509" s="22">
        <v>43405</v>
      </c>
      <c r="B509" s="22"/>
      <c r="C509" s="27">
        <f>ROUND(587.678,3)</f>
        <v>587.678</v>
      </c>
      <c r="D509" s="27">
        <f>F509</f>
        <v>625.944</v>
      </c>
      <c r="E509" s="27">
        <f>F509</f>
        <v>625.944</v>
      </c>
      <c r="F509" s="27">
        <f>ROUND(625.944,3)</f>
        <v>625.944</v>
      </c>
      <c r="G509" s="24"/>
      <c r="H509" s="36"/>
    </row>
    <row r="510" spans="1:8" ht="12.75" customHeight="1">
      <c r="A510" s="22" t="s">
        <v>90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43132</v>
      </c>
      <c r="B511" s="22"/>
      <c r="C511" s="27">
        <f>ROUND(251.669365340477,3)</f>
        <v>251.669</v>
      </c>
      <c r="D511" s="27">
        <f>F511</f>
        <v>253.391</v>
      </c>
      <c r="E511" s="27">
        <f>F511</f>
        <v>253.391</v>
      </c>
      <c r="F511" s="27">
        <f>ROUND(253.391,3)</f>
        <v>253.391</v>
      </c>
      <c r="G511" s="24"/>
      <c r="H511" s="36"/>
    </row>
    <row r="512" spans="1:8" ht="12.75" customHeight="1">
      <c r="A512" s="22">
        <v>43223</v>
      </c>
      <c r="B512" s="22"/>
      <c r="C512" s="27">
        <f>ROUND(251.669365340477,3)</f>
        <v>251.669</v>
      </c>
      <c r="D512" s="27">
        <f>F512</f>
        <v>258.142</v>
      </c>
      <c r="E512" s="27">
        <f>F512</f>
        <v>258.142</v>
      </c>
      <c r="F512" s="27">
        <f>ROUND(258.142,3)</f>
        <v>258.142</v>
      </c>
      <c r="G512" s="24"/>
      <c r="H512" s="36"/>
    </row>
    <row r="513" spans="1:8" ht="12.75" customHeight="1">
      <c r="A513" s="22">
        <v>43314</v>
      </c>
      <c r="B513" s="22"/>
      <c r="C513" s="27">
        <f>ROUND(251.669365340477,3)</f>
        <v>251.669</v>
      </c>
      <c r="D513" s="27">
        <f>F513</f>
        <v>263.035</v>
      </c>
      <c r="E513" s="27">
        <f>F513</f>
        <v>263.035</v>
      </c>
      <c r="F513" s="27">
        <f>ROUND(263.035,3)</f>
        <v>263.035</v>
      </c>
      <c r="G513" s="24"/>
      <c r="H513" s="36"/>
    </row>
    <row r="514" spans="1:8" ht="12.75" customHeight="1">
      <c r="A514" s="22">
        <v>43405</v>
      </c>
      <c r="B514" s="22"/>
      <c r="C514" s="27">
        <f>ROUND(251.669365340477,3)</f>
        <v>251.669</v>
      </c>
      <c r="D514" s="27">
        <f>F514</f>
        <v>268.207</v>
      </c>
      <c r="E514" s="27">
        <f>F514</f>
        <v>268.207</v>
      </c>
      <c r="F514" s="27">
        <f>ROUND(268.207,3)</f>
        <v>268.207</v>
      </c>
      <c r="G514" s="24"/>
      <c r="H514" s="36"/>
    </row>
    <row r="515" spans="1:8" ht="12.75" customHeight="1">
      <c r="A515" s="22" t="s">
        <v>91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43132</v>
      </c>
      <c r="B516" s="22"/>
      <c r="C516" s="27">
        <f>ROUND(675.731,3)</f>
        <v>675.731</v>
      </c>
      <c r="D516" s="27">
        <f>F516</f>
        <v>724.173</v>
      </c>
      <c r="E516" s="27">
        <f>F516</f>
        <v>724.173</v>
      </c>
      <c r="F516" s="27">
        <f>ROUND(724.173,3)</f>
        <v>724.173</v>
      </c>
      <c r="G516" s="24"/>
      <c r="H516" s="36"/>
    </row>
    <row r="517" spans="1:8" ht="12.75" customHeight="1">
      <c r="A517" s="22" t="s">
        <v>92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43178</v>
      </c>
      <c r="B518" s="22"/>
      <c r="C518" s="24">
        <f>ROUND(22047.8707035162,2)</f>
        <v>22047.87</v>
      </c>
      <c r="D518" s="24">
        <f>F518</f>
        <v>22340.71</v>
      </c>
      <c r="E518" s="24">
        <f>F518</f>
        <v>22340.71</v>
      </c>
      <c r="F518" s="24">
        <f>ROUND(22340.71,2)</f>
        <v>22340.71</v>
      </c>
      <c r="G518" s="24"/>
      <c r="H518" s="36"/>
    </row>
    <row r="519" spans="1:8" ht="12.75" customHeight="1">
      <c r="A519" s="22">
        <v>43269</v>
      </c>
      <c r="B519" s="22"/>
      <c r="C519" s="24">
        <f>ROUND(22047.8707035162,2)</f>
        <v>22047.87</v>
      </c>
      <c r="D519" s="24">
        <f>F519</f>
        <v>22685.12</v>
      </c>
      <c r="E519" s="24">
        <f>F519</f>
        <v>22685.12</v>
      </c>
      <c r="F519" s="24">
        <f>ROUND(22685.12,2)</f>
        <v>22685.12</v>
      </c>
      <c r="G519" s="24"/>
      <c r="H519" s="36"/>
    </row>
    <row r="520" spans="1:8" ht="12.75" customHeight="1">
      <c r="A520" s="22">
        <v>43360</v>
      </c>
      <c r="B520" s="22"/>
      <c r="C520" s="24">
        <f>ROUND(22047.8707035162,2)</f>
        <v>22047.87</v>
      </c>
      <c r="D520" s="24">
        <f>F520</f>
        <v>23030.49</v>
      </c>
      <c r="E520" s="24">
        <f>F520</f>
        <v>23030.49</v>
      </c>
      <c r="F520" s="24">
        <f>ROUND(23030.49,2)</f>
        <v>23030.49</v>
      </c>
      <c r="G520" s="24"/>
      <c r="H520" s="36"/>
    </row>
    <row r="521" spans="1:8" ht="12.75" customHeight="1">
      <c r="A521" s="22" t="s">
        <v>93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43117</v>
      </c>
      <c r="B522" s="22"/>
      <c r="C522" s="27">
        <f>ROUND(7.158,3)</f>
        <v>7.158</v>
      </c>
      <c r="D522" s="27">
        <f>ROUND(7.25,3)</f>
        <v>7.25</v>
      </c>
      <c r="E522" s="27">
        <f>ROUND(7.15,3)</f>
        <v>7.15</v>
      </c>
      <c r="F522" s="27">
        <f>ROUND(7.2,3)</f>
        <v>7.2</v>
      </c>
      <c r="G522" s="24"/>
      <c r="H522" s="36"/>
    </row>
    <row r="523" spans="1:8" ht="12.75" customHeight="1">
      <c r="A523" s="22">
        <v>43152</v>
      </c>
      <c r="B523" s="22"/>
      <c r="C523" s="27">
        <f>ROUND(7.158,3)</f>
        <v>7.158</v>
      </c>
      <c r="D523" s="27">
        <f>ROUND(7.31,3)</f>
        <v>7.31</v>
      </c>
      <c r="E523" s="27">
        <f>ROUND(7.21,3)</f>
        <v>7.21</v>
      </c>
      <c r="F523" s="27">
        <f>ROUND(7.26,3)</f>
        <v>7.26</v>
      </c>
      <c r="G523" s="24"/>
      <c r="H523" s="36"/>
    </row>
    <row r="524" spans="1:8" ht="12.75" customHeight="1">
      <c r="A524" s="22">
        <v>43179</v>
      </c>
      <c r="B524" s="22"/>
      <c r="C524" s="27">
        <f>ROUND(7.158,3)</f>
        <v>7.158</v>
      </c>
      <c r="D524" s="27">
        <f>ROUND(7.35,3)</f>
        <v>7.35</v>
      </c>
      <c r="E524" s="27">
        <f>ROUND(7.25,3)</f>
        <v>7.25</v>
      </c>
      <c r="F524" s="27">
        <f>ROUND(7.3,3)</f>
        <v>7.3</v>
      </c>
      <c r="G524" s="24"/>
      <c r="H524" s="36"/>
    </row>
    <row r="525" spans="1:8" ht="12.75" customHeight="1">
      <c r="A525" s="22">
        <v>43208</v>
      </c>
      <c r="B525" s="22"/>
      <c r="C525" s="27">
        <f>ROUND(7.158,3)</f>
        <v>7.158</v>
      </c>
      <c r="D525" s="27">
        <f>ROUND(7.38,3)</f>
        <v>7.38</v>
      </c>
      <c r="E525" s="27">
        <f>ROUND(7.28,3)</f>
        <v>7.28</v>
      </c>
      <c r="F525" s="27">
        <f>ROUND(7.33,3)</f>
        <v>7.33</v>
      </c>
      <c r="G525" s="24"/>
      <c r="H525" s="36"/>
    </row>
    <row r="526" spans="1:8" ht="12.75" customHeight="1">
      <c r="A526" s="22">
        <v>43269</v>
      </c>
      <c r="B526" s="22"/>
      <c r="C526" s="27">
        <f>ROUND(7.158,3)</f>
        <v>7.158</v>
      </c>
      <c r="D526" s="27">
        <f>ROUND(7.51,3)</f>
        <v>7.51</v>
      </c>
      <c r="E526" s="27">
        <f>ROUND(7.41,3)</f>
        <v>7.41</v>
      </c>
      <c r="F526" s="27">
        <f>ROUND(7.46,3)</f>
        <v>7.46</v>
      </c>
      <c r="G526" s="24"/>
      <c r="H526" s="36"/>
    </row>
    <row r="527" spans="1:8" ht="12.75" customHeight="1">
      <c r="A527" s="22">
        <v>43271</v>
      </c>
      <c r="B527" s="22"/>
      <c r="C527" s="27">
        <f>ROUND(7.158,3)</f>
        <v>7.158</v>
      </c>
      <c r="D527" s="27">
        <f>ROUND(7.45,3)</f>
        <v>7.45</v>
      </c>
      <c r="E527" s="27">
        <f>ROUND(7.35,3)</f>
        <v>7.35</v>
      </c>
      <c r="F527" s="27">
        <f>ROUND(7.4,3)</f>
        <v>7.4</v>
      </c>
      <c r="G527" s="24"/>
      <c r="H527" s="36"/>
    </row>
    <row r="528" spans="1:8" ht="12.75" customHeight="1">
      <c r="A528" s="22">
        <v>43362</v>
      </c>
      <c r="B528" s="22"/>
      <c r="C528" s="27">
        <f>ROUND(7.158,3)</f>
        <v>7.158</v>
      </c>
      <c r="D528" s="27">
        <f>ROUND(7.54,3)</f>
        <v>7.54</v>
      </c>
      <c r="E528" s="27">
        <f>ROUND(7.44,3)</f>
        <v>7.44</v>
      </c>
      <c r="F528" s="27">
        <f>ROUND(7.49,3)</f>
        <v>7.49</v>
      </c>
      <c r="G528" s="24"/>
      <c r="H528" s="36"/>
    </row>
    <row r="529" spans="1:8" ht="12.75" customHeight="1">
      <c r="A529" s="22">
        <v>43453</v>
      </c>
      <c r="B529" s="22"/>
      <c r="C529" s="27">
        <f>ROUND(7.158,3)</f>
        <v>7.158</v>
      </c>
      <c r="D529" s="27">
        <f>ROUND(7.63,3)</f>
        <v>7.63</v>
      </c>
      <c r="E529" s="27">
        <f>ROUND(7.53,3)</f>
        <v>7.53</v>
      </c>
      <c r="F529" s="27">
        <f>ROUND(7.58,3)</f>
        <v>7.58</v>
      </c>
      <c r="G529" s="24"/>
      <c r="H529" s="36"/>
    </row>
    <row r="530" spans="1:8" ht="12.75" customHeight="1">
      <c r="A530" s="22">
        <v>43544</v>
      </c>
      <c r="B530" s="22"/>
      <c r="C530" s="27">
        <f>ROUND(7.158,3)</f>
        <v>7.158</v>
      </c>
      <c r="D530" s="27">
        <f>ROUND(7.72,3)</f>
        <v>7.72</v>
      </c>
      <c r="E530" s="27">
        <f>ROUND(7.62,3)</f>
        <v>7.62</v>
      </c>
      <c r="F530" s="27">
        <f>ROUND(7.67,3)</f>
        <v>7.67</v>
      </c>
      <c r="G530" s="24"/>
      <c r="H530" s="36"/>
    </row>
    <row r="531" spans="1:8" ht="12.75" customHeight="1">
      <c r="A531" s="22">
        <v>43635</v>
      </c>
      <c r="B531" s="22"/>
      <c r="C531" s="27">
        <f>ROUND(7.158,3)</f>
        <v>7.158</v>
      </c>
      <c r="D531" s="27">
        <f>ROUND(7.82,3)</f>
        <v>7.82</v>
      </c>
      <c r="E531" s="27">
        <f>ROUND(7.72,3)</f>
        <v>7.72</v>
      </c>
      <c r="F531" s="27">
        <f>ROUND(7.77,3)</f>
        <v>7.77</v>
      </c>
      <c r="G531" s="24"/>
      <c r="H531" s="36"/>
    </row>
    <row r="532" spans="1:8" ht="12.75" customHeight="1">
      <c r="A532" s="22">
        <v>43726</v>
      </c>
      <c r="B532" s="22"/>
      <c r="C532" s="27">
        <f>ROUND(7.158,3)</f>
        <v>7.158</v>
      </c>
      <c r="D532" s="27">
        <f>ROUND(7.9,3)</f>
        <v>7.9</v>
      </c>
      <c r="E532" s="27">
        <f>ROUND(7.8,3)</f>
        <v>7.8</v>
      </c>
      <c r="F532" s="27">
        <f>ROUND(7.85,3)</f>
        <v>7.85</v>
      </c>
      <c r="G532" s="24"/>
      <c r="H532" s="36"/>
    </row>
    <row r="533" spans="1:8" ht="12.75" customHeight="1">
      <c r="A533" s="22" t="s">
        <v>94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43132</v>
      </c>
      <c r="B534" s="22"/>
      <c r="C534" s="27">
        <f>ROUND(586.325,3)</f>
        <v>586.325</v>
      </c>
      <c r="D534" s="27">
        <f>F534</f>
        <v>590.322</v>
      </c>
      <c r="E534" s="27">
        <f>F534</f>
        <v>590.322</v>
      </c>
      <c r="F534" s="27">
        <f>ROUND(590.322,3)</f>
        <v>590.322</v>
      </c>
      <c r="G534" s="24"/>
      <c r="H534" s="36"/>
    </row>
    <row r="535" spans="1:8" ht="12.75" customHeight="1">
      <c r="A535" s="22">
        <v>43223</v>
      </c>
      <c r="B535" s="22"/>
      <c r="C535" s="27">
        <f>ROUND(586.325,3)</f>
        <v>586.325</v>
      </c>
      <c r="D535" s="27">
        <f>F535</f>
        <v>601.355</v>
      </c>
      <c r="E535" s="27">
        <f>F535</f>
        <v>601.355</v>
      </c>
      <c r="F535" s="27">
        <f>ROUND(601.355,3)</f>
        <v>601.355</v>
      </c>
      <c r="G535" s="24"/>
      <c r="H535" s="36"/>
    </row>
    <row r="536" spans="1:8" ht="12.75" customHeight="1">
      <c r="A536" s="22">
        <v>43314</v>
      </c>
      <c r="B536" s="22"/>
      <c r="C536" s="27">
        <f>ROUND(586.325,3)</f>
        <v>586.325</v>
      </c>
      <c r="D536" s="27">
        <f>F536</f>
        <v>612.657</v>
      </c>
      <c r="E536" s="27">
        <f>F536</f>
        <v>612.657</v>
      </c>
      <c r="F536" s="27">
        <f>ROUND(612.657,3)</f>
        <v>612.657</v>
      </c>
      <c r="G536" s="24"/>
      <c r="H536" s="36"/>
    </row>
    <row r="537" spans="1:8" ht="12.75" customHeight="1">
      <c r="A537" s="22">
        <v>43405</v>
      </c>
      <c r="B537" s="22"/>
      <c r="C537" s="27">
        <f>ROUND(586.325,3)</f>
        <v>586.325</v>
      </c>
      <c r="D537" s="27">
        <f>F537</f>
        <v>624.503</v>
      </c>
      <c r="E537" s="27">
        <f>F537</f>
        <v>624.503</v>
      </c>
      <c r="F537" s="27">
        <f>ROUND(624.503,3)</f>
        <v>624.503</v>
      </c>
      <c r="G537" s="24"/>
      <c r="H537" s="36"/>
    </row>
    <row r="538" spans="1:8" ht="12.75" customHeight="1">
      <c r="A538" s="22" t="s">
        <v>12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43546</v>
      </c>
      <c r="B539" s="22"/>
      <c r="C539" s="24">
        <f>ROUND(99.4457531567527,2)</f>
        <v>99.45</v>
      </c>
      <c r="D539" s="24">
        <f>F539</f>
        <v>99.45</v>
      </c>
      <c r="E539" s="24">
        <f>F539</f>
        <v>99.45</v>
      </c>
      <c r="F539" s="24">
        <f>ROUND(99.4457531567527,2)</f>
        <v>99.45</v>
      </c>
      <c r="G539" s="24"/>
      <c r="H539" s="36"/>
    </row>
    <row r="540" spans="1:8" ht="12.75" customHeight="1">
      <c r="A540" s="22" t="s">
        <v>13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43913</v>
      </c>
      <c r="B541" s="22"/>
      <c r="C541" s="24">
        <f>ROUND(98.6715540988699,2)</f>
        <v>98.67</v>
      </c>
      <c r="D541" s="24">
        <f>F541</f>
        <v>98.67</v>
      </c>
      <c r="E541" s="24">
        <f>F541</f>
        <v>98.67</v>
      </c>
      <c r="F541" s="24">
        <f>ROUND(98.6715540988699,2)</f>
        <v>98.67</v>
      </c>
      <c r="G541" s="24"/>
      <c r="H541" s="36"/>
    </row>
    <row r="542" spans="1:8" ht="12.75" customHeight="1">
      <c r="A542" s="22" t="s">
        <v>14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45007</v>
      </c>
      <c r="B543" s="22"/>
      <c r="C543" s="24">
        <f>ROUND(96.6375126728547,2)</f>
        <v>96.64</v>
      </c>
      <c r="D543" s="24">
        <f>F543</f>
        <v>96.64</v>
      </c>
      <c r="E543" s="24">
        <f>F543</f>
        <v>96.64</v>
      </c>
      <c r="F543" s="24">
        <f>ROUND(96.6375126728547,2)</f>
        <v>96.64</v>
      </c>
      <c r="G543" s="24"/>
      <c r="H543" s="36"/>
    </row>
    <row r="544" spans="1:8" ht="12.75" customHeight="1">
      <c r="A544" s="22" t="s">
        <v>15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46834</v>
      </c>
      <c r="B545" s="22"/>
      <c r="C545" s="24">
        <f>ROUND(96.7982253653543,2)</f>
        <v>96.8</v>
      </c>
      <c r="D545" s="24">
        <f>F545</f>
        <v>96.8</v>
      </c>
      <c r="E545" s="24">
        <f>F545</f>
        <v>96.8</v>
      </c>
      <c r="F545" s="24">
        <f>ROUND(96.7982253653543,2)</f>
        <v>96.8</v>
      </c>
      <c r="G545" s="24"/>
      <c r="H545" s="36"/>
    </row>
    <row r="546" spans="1:8" ht="12.75" customHeight="1">
      <c r="A546" s="22" t="s">
        <v>95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43174</v>
      </c>
      <c r="B547" s="22"/>
      <c r="C547" s="26">
        <f>ROUND(99.4457531567527,5)</f>
        <v>99.44575</v>
      </c>
      <c r="D547" s="26">
        <f>F547</f>
        <v>99.72457</v>
      </c>
      <c r="E547" s="26">
        <f>F547</f>
        <v>99.72457</v>
      </c>
      <c r="F547" s="26">
        <f>ROUND(99.7245729510336,5)</f>
        <v>99.72457</v>
      </c>
      <c r="G547" s="24"/>
      <c r="H547" s="36"/>
    </row>
    <row r="548" spans="1:8" ht="12.75" customHeight="1">
      <c r="A548" s="22" t="s">
        <v>96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43272</v>
      </c>
      <c r="B549" s="22"/>
      <c r="C549" s="26">
        <f>ROUND(99.4457531567527,5)</f>
        <v>99.44575</v>
      </c>
      <c r="D549" s="26">
        <f>F549</f>
        <v>99.87628</v>
      </c>
      <c r="E549" s="26">
        <f>F549</f>
        <v>99.87628</v>
      </c>
      <c r="F549" s="26">
        <f>ROUND(99.8762797385762,5)</f>
        <v>99.87628</v>
      </c>
      <c r="G549" s="24"/>
      <c r="H549" s="36"/>
    </row>
    <row r="550" spans="1:8" ht="12.75" customHeight="1">
      <c r="A550" s="22" t="s">
        <v>97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43363</v>
      </c>
      <c r="B551" s="22"/>
      <c r="C551" s="26">
        <f>ROUND(99.4457531567527,5)</f>
        <v>99.44575</v>
      </c>
      <c r="D551" s="26">
        <f>F551</f>
        <v>99.99986</v>
      </c>
      <c r="E551" s="26">
        <f>F551</f>
        <v>99.99986</v>
      </c>
      <c r="F551" s="26">
        <f>ROUND(99.9998639340521,5)</f>
        <v>99.99986</v>
      </c>
      <c r="G551" s="24"/>
      <c r="H551" s="36"/>
    </row>
    <row r="552" spans="1:8" ht="12.75" customHeight="1">
      <c r="A552" s="22" t="s">
        <v>98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43175</v>
      </c>
      <c r="B553" s="22"/>
      <c r="C553" s="26">
        <f>ROUND(98.6715540988699,5)</f>
        <v>98.67155</v>
      </c>
      <c r="D553" s="26">
        <f>F553</f>
        <v>99.00749</v>
      </c>
      <c r="E553" s="26">
        <f>F553</f>
        <v>99.00749</v>
      </c>
      <c r="F553" s="26">
        <f>ROUND(99.0074871498584,5)</f>
        <v>99.00749</v>
      </c>
      <c r="G553" s="24"/>
      <c r="H553" s="36"/>
    </row>
    <row r="554" spans="1:8" ht="12.75" customHeight="1">
      <c r="A554" s="22" t="s">
        <v>99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43266</v>
      </c>
      <c r="B555" s="22"/>
      <c r="C555" s="26">
        <f>ROUND(98.6715540988699,5)</f>
        <v>98.67155</v>
      </c>
      <c r="D555" s="26">
        <f>F555</f>
        <v>98.56417</v>
      </c>
      <c r="E555" s="26">
        <f>F555</f>
        <v>98.56417</v>
      </c>
      <c r="F555" s="26">
        <f>ROUND(98.5641738989711,5)</f>
        <v>98.56417</v>
      </c>
      <c r="G555" s="24"/>
      <c r="H555" s="36"/>
    </row>
    <row r="556" spans="1:8" ht="12.75" customHeight="1">
      <c r="A556" s="22" t="s">
        <v>100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43364</v>
      </c>
      <c r="B557" s="22"/>
      <c r="C557" s="26">
        <f>ROUND(98.6715540988699,5)</f>
        <v>98.67155</v>
      </c>
      <c r="D557" s="26">
        <f>F557</f>
        <v>98.47135</v>
      </c>
      <c r="E557" s="26">
        <f>F557</f>
        <v>98.47135</v>
      </c>
      <c r="F557" s="26">
        <f>ROUND(98.4713458139025,5)</f>
        <v>98.47135</v>
      </c>
      <c r="G557" s="24"/>
      <c r="H557" s="36"/>
    </row>
    <row r="558" spans="1:8" ht="12.75" customHeight="1">
      <c r="A558" s="22" t="s">
        <v>101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43455</v>
      </c>
      <c r="B559" s="22"/>
      <c r="C559" s="24">
        <f>ROUND(98.6715540988699,2)</f>
        <v>98.67</v>
      </c>
      <c r="D559" s="24">
        <f>F559</f>
        <v>98.82</v>
      </c>
      <c r="E559" s="24">
        <f>F559</f>
        <v>98.82</v>
      </c>
      <c r="F559" s="24">
        <f>ROUND(98.8164667800332,2)</f>
        <v>98.82</v>
      </c>
      <c r="G559" s="24"/>
      <c r="H559" s="36"/>
    </row>
    <row r="560" spans="1:8" ht="12.75" customHeight="1">
      <c r="A560" s="22" t="s">
        <v>102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43539</v>
      </c>
      <c r="B561" s="22"/>
      <c r="C561" s="26">
        <f>ROUND(98.6715540988699,5)</f>
        <v>98.67155</v>
      </c>
      <c r="D561" s="26">
        <f>F561</f>
        <v>99.19478</v>
      </c>
      <c r="E561" s="26">
        <f>F561</f>
        <v>99.19478</v>
      </c>
      <c r="F561" s="26">
        <f>ROUND(99.1947790987548,5)</f>
        <v>99.19478</v>
      </c>
      <c r="G561" s="24"/>
      <c r="H561" s="36"/>
    </row>
    <row r="562" spans="1:8" ht="12.75" customHeight="1">
      <c r="A562" s="22" t="s">
        <v>103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43637</v>
      </c>
      <c r="B563" s="22"/>
      <c r="C563" s="26">
        <f>ROUND(98.6715540988699,5)</f>
        <v>98.67155</v>
      </c>
      <c r="D563" s="26">
        <f>F563</f>
        <v>99.56125</v>
      </c>
      <c r="E563" s="26">
        <f>F563</f>
        <v>99.56125</v>
      </c>
      <c r="F563" s="26">
        <f>ROUND(99.5612506740105,5)</f>
        <v>99.56125</v>
      </c>
      <c r="G563" s="24"/>
      <c r="H563" s="36"/>
    </row>
    <row r="564" spans="1:8" ht="12.75" customHeight="1">
      <c r="A564" s="22" t="s">
        <v>104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43728</v>
      </c>
      <c r="B565" s="22"/>
      <c r="C565" s="26">
        <f>ROUND(98.6715540988699,5)</f>
        <v>98.67155</v>
      </c>
      <c r="D565" s="26">
        <f>F565</f>
        <v>99.94028</v>
      </c>
      <c r="E565" s="26">
        <f>F565</f>
        <v>99.94028</v>
      </c>
      <c r="F565" s="26">
        <f>ROUND(99.9402838247001,5)</f>
        <v>99.94028</v>
      </c>
      <c r="G565" s="24"/>
      <c r="H565" s="36"/>
    </row>
    <row r="566" spans="1:8" ht="12.75" customHeight="1">
      <c r="A566" s="22" t="s">
        <v>105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44182</v>
      </c>
      <c r="B567" s="22"/>
      <c r="C567" s="26">
        <f>ROUND(96.6375126728547,5)</f>
        <v>96.63751</v>
      </c>
      <c r="D567" s="26">
        <f>F567</f>
        <v>96.06892</v>
      </c>
      <c r="E567" s="26">
        <f>F567</f>
        <v>96.06892</v>
      </c>
      <c r="F567" s="26">
        <f>ROUND(96.068919604882,5)</f>
        <v>96.06892</v>
      </c>
      <c r="G567" s="24"/>
      <c r="H567" s="36"/>
    </row>
    <row r="568" spans="1:8" ht="12.75" customHeight="1">
      <c r="A568" s="22" t="s">
        <v>106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44271</v>
      </c>
      <c r="B569" s="22"/>
      <c r="C569" s="26">
        <f>ROUND(96.6375126728547,5)</f>
        <v>96.63751</v>
      </c>
      <c r="D569" s="26">
        <f>F569</f>
        <v>95.28395</v>
      </c>
      <c r="E569" s="26">
        <f>F569</f>
        <v>95.28395</v>
      </c>
      <c r="F569" s="26">
        <f>ROUND(95.2839549384534,5)</f>
        <v>95.28395</v>
      </c>
      <c r="G569" s="24"/>
      <c r="H569" s="36"/>
    </row>
    <row r="570" spans="1:8" ht="12.75" customHeight="1">
      <c r="A570" s="22" t="s">
        <v>107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44362</v>
      </c>
      <c r="B571" s="22"/>
      <c r="C571" s="26">
        <f>ROUND(96.6375126728547,5)</f>
        <v>96.63751</v>
      </c>
      <c r="D571" s="26">
        <f>F571</f>
        <v>94.47447</v>
      </c>
      <c r="E571" s="26">
        <f>F571</f>
        <v>94.47447</v>
      </c>
      <c r="F571" s="26">
        <f>ROUND(94.4744693233758,5)</f>
        <v>94.47447</v>
      </c>
      <c r="G571" s="24"/>
      <c r="H571" s="36"/>
    </row>
    <row r="572" spans="1:8" ht="12.75" customHeight="1">
      <c r="A572" s="22" t="s">
        <v>108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44460</v>
      </c>
      <c r="B573" s="22"/>
      <c r="C573" s="26">
        <f>ROUND(96.6375126728547,5)</f>
        <v>96.63751</v>
      </c>
      <c r="D573" s="26">
        <f>F573</f>
        <v>94.64417</v>
      </c>
      <c r="E573" s="26">
        <f>F573</f>
        <v>94.64417</v>
      </c>
      <c r="F573" s="26">
        <f>ROUND(94.6441708742669,5)</f>
        <v>94.64417</v>
      </c>
      <c r="G573" s="24"/>
      <c r="H573" s="36"/>
    </row>
    <row r="574" spans="1:8" ht="12.75" customHeight="1">
      <c r="A574" s="22" t="s">
        <v>109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44551</v>
      </c>
      <c r="B575" s="22"/>
      <c r="C575" s="26">
        <f>ROUND(96.6375126728547,5)</f>
        <v>96.63751</v>
      </c>
      <c r="D575" s="26">
        <f>F575</f>
        <v>96.82868</v>
      </c>
      <c r="E575" s="26">
        <f>F575</f>
        <v>96.82868</v>
      </c>
      <c r="F575" s="26">
        <f>ROUND(96.8286782039127,5)</f>
        <v>96.82868</v>
      </c>
      <c r="G575" s="24"/>
      <c r="H575" s="36"/>
    </row>
    <row r="576" spans="1:8" ht="12.75" customHeight="1">
      <c r="A576" s="22" t="s">
        <v>110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44635</v>
      </c>
      <c r="B577" s="22"/>
      <c r="C577" s="26">
        <f>ROUND(96.6375126728547,5)</f>
        <v>96.63751</v>
      </c>
      <c r="D577" s="26">
        <f>F577</f>
        <v>96.94969</v>
      </c>
      <c r="E577" s="26">
        <f>F577</f>
        <v>96.94969</v>
      </c>
      <c r="F577" s="26">
        <f>ROUND(96.949687511707,5)</f>
        <v>96.94969</v>
      </c>
      <c r="G577" s="24"/>
      <c r="H577" s="36"/>
    </row>
    <row r="578" spans="1:8" ht="12.75" customHeight="1">
      <c r="A578" s="22" t="s">
        <v>111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44733</v>
      </c>
      <c r="B579" s="22"/>
      <c r="C579" s="26">
        <f>ROUND(96.6375126728547,5)</f>
        <v>96.63751</v>
      </c>
      <c r="D579" s="26">
        <f>F579</f>
        <v>98.11728</v>
      </c>
      <c r="E579" s="26">
        <f>F579</f>
        <v>98.11728</v>
      </c>
      <c r="F579" s="26">
        <f>ROUND(98.1172833411121,5)</f>
        <v>98.11728</v>
      </c>
      <c r="G579" s="24"/>
      <c r="H579" s="36"/>
    </row>
    <row r="580" spans="1:8" ht="12.75" customHeight="1">
      <c r="A580" s="22" t="s">
        <v>112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44824</v>
      </c>
      <c r="B581" s="22"/>
      <c r="C581" s="26">
        <f>ROUND(96.6375126728547,5)</f>
        <v>96.63751</v>
      </c>
      <c r="D581" s="26">
        <f>F581</f>
        <v>100.2951</v>
      </c>
      <c r="E581" s="26">
        <f>F581</f>
        <v>100.2951</v>
      </c>
      <c r="F581" s="26">
        <f>ROUND(100.295098235481,5)</f>
        <v>100.2951</v>
      </c>
      <c r="G581" s="24"/>
      <c r="H581" s="36"/>
    </row>
    <row r="582" spans="1:8" ht="12.75" customHeight="1">
      <c r="A582" s="22" t="s">
        <v>113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46008</v>
      </c>
      <c r="B583" s="22"/>
      <c r="C583" s="26">
        <f>ROUND(96.7982253653543,5)</f>
        <v>96.79823</v>
      </c>
      <c r="D583" s="26">
        <f>F583</f>
        <v>95.08823</v>
      </c>
      <c r="E583" s="26">
        <f>F583</f>
        <v>95.08823</v>
      </c>
      <c r="F583" s="26">
        <f>ROUND(95.0882270980295,5)</f>
        <v>95.08823</v>
      </c>
      <c r="G583" s="24"/>
      <c r="H583" s="36"/>
    </row>
    <row r="584" spans="1:8" ht="12.75" customHeight="1">
      <c r="A584" s="22" t="s">
        <v>114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46097</v>
      </c>
      <c r="B585" s="22"/>
      <c r="C585" s="26">
        <f>ROUND(96.7982253653543,5)</f>
        <v>96.79823</v>
      </c>
      <c r="D585" s="26">
        <f>F585</f>
        <v>92.11067</v>
      </c>
      <c r="E585" s="26">
        <f>F585</f>
        <v>92.11067</v>
      </c>
      <c r="F585" s="26">
        <f>ROUND(92.1106699511599,5)</f>
        <v>92.11067</v>
      </c>
      <c r="G585" s="24"/>
      <c r="H585" s="36"/>
    </row>
    <row r="586" spans="1:8" ht="12.75" customHeight="1">
      <c r="A586" s="22" t="s">
        <v>115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46188</v>
      </c>
      <c r="B587" s="22"/>
      <c r="C587" s="26">
        <f>ROUND(96.7982253653543,5)</f>
        <v>96.79823</v>
      </c>
      <c r="D587" s="26">
        <f>F587</f>
        <v>90.8751</v>
      </c>
      <c r="E587" s="26">
        <f>F587</f>
        <v>90.8751</v>
      </c>
      <c r="F587" s="26">
        <f>ROUND(90.8750973083255,5)</f>
        <v>90.8751</v>
      </c>
      <c r="G587" s="24"/>
      <c r="H587" s="36"/>
    </row>
    <row r="588" spans="1:8" ht="12.75" customHeight="1">
      <c r="A588" s="22" t="s">
        <v>116</v>
      </c>
      <c r="B588" s="22"/>
      <c r="C588" s="23"/>
      <c r="D588" s="23"/>
      <c r="E588" s="23"/>
      <c r="F588" s="23"/>
      <c r="G588" s="24"/>
      <c r="H588" s="36"/>
    </row>
    <row r="589" spans="1:8" ht="12.75" customHeight="1">
      <c r="A589" s="22">
        <v>46286</v>
      </c>
      <c r="B589" s="22"/>
      <c r="C589" s="26">
        <f>ROUND(96.7982253653543,5)</f>
        <v>96.79823</v>
      </c>
      <c r="D589" s="26">
        <f>F589</f>
        <v>93.04899</v>
      </c>
      <c r="E589" s="26">
        <f>F589</f>
        <v>93.04899</v>
      </c>
      <c r="F589" s="26">
        <f>ROUND(93.0489890392151,5)</f>
        <v>93.04899</v>
      </c>
      <c r="G589" s="24"/>
      <c r="H589" s="36"/>
    </row>
    <row r="590" spans="1:8" ht="12.75" customHeight="1">
      <c r="A590" s="22" t="s">
        <v>117</v>
      </c>
      <c r="B590" s="22"/>
      <c r="C590" s="23"/>
      <c r="D590" s="23"/>
      <c r="E590" s="23"/>
      <c r="F590" s="23"/>
      <c r="G590" s="24"/>
      <c r="H590" s="36"/>
    </row>
    <row r="591" spans="1:8" ht="12.75" customHeight="1">
      <c r="A591" s="22">
        <v>46377</v>
      </c>
      <c r="B591" s="22"/>
      <c r="C591" s="26">
        <f>ROUND(96.7982253653543,5)</f>
        <v>96.79823</v>
      </c>
      <c r="D591" s="26">
        <f>F591</f>
        <v>96.83735</v>
      </c>
      <c r="E591" s="26">
        <f>F591</f>
        <v>96.83735</v>
      </c>
      <c r="F591" s="26">
        <f>ROUND(96.8373489945856,5)</f>
        <v>96.83735</v>
      </c>
      <c r="G591" s="24"/>
      <c r="H591" s="36"/>
    </row>
    <row r="592" spans="1:8" ht="12.75" customHeight="1">
      <c r="A592" s="22" t="s">
        <v>118</v>
      </c>
      <c r="B592" s="22"/>
      <c r="C592" s="23"/>
      <c r="D592" s="23"/>
      <c r="E592" s="23"/>
      <c r="F592" s="23"/>
      <c r="G592" s="24"/>
      <c r="H592" s="36"/>
    </row>
    <row r="593" spans="1:8" ht="12.75" customHeight="1">
      <c r="A593" s="22">
        <v>46461</v>
      </c>
      <c r="B593" s="22"/>
      <c r="C593" s="26">
        <f>ROUND(96.7982253653543,5)</f>
        <v>96.79823</v>
      </c>
      <c r="D593" s="26">
        <f>F593</f>
        <v>95.4134</v>
      </c>
      <c r="E593" s="26">
        <f>F593</f>
        <v>95.4134</v>
      </c>
      <c r="F593" s="26">
        <f>ROUND(95.4134021410731,5)</f>
        <v>95.4134</v>
      </c>
      <c r="G593" s="24"/>
      <c r="H593" s="36"/>
    </row>
    <row r="594" spans="1:8" ht="12.75" customHeight="1">
      <c r="A594" s="22" t="s">
        <v>119</v>
      </c>
      <c r="B594" s="22"/>
      <c r="C594" s="23"/>
      <c r="D594" s="23"/>
      <c r="E594" s="23"/>
      <c r="F594" s="23"/>
      <c r="G594" s="24"/>
      <c r="H594" s="36"/>
    </row>
    <row r="595" spans="1:8" ht="12.75" customHeight="1">
      <c r="A595" s="22">
        <v>46559</v>
      </c>
      <c r="B595" s="22"/>
      <c r="C595" s="26">
        <f>ROUND(96.7982253653543,5)</f>
        <v>96.79823</v>
      </c>
      <c r="D595" s="26">
        <f>F595</f>
        <v>97.4764</v>
      </c>
      <c r="E595" s="26">
        <f>F595</f>
        <v>97.4764</v>
      </c>
      <c r="F595" s="26">
        <f>ROUND(97.4764045128281,5)</f>
        <v>97.4764</v>
      </c>
      <c r="G595" s="24"/>
      <c r="H595" s="36"/>
    </row>
    <row r="596" spans="1:8" ht="12.75" customHeight="1">
      <c r="A596" s="22" t="s">
        <v>120</v>
      </c>
      <c r="B596" s="22"/>
      <c r="C596" s="23"/>
      <c r="D596" s="23"/>
      <c r="E596" s="23"/>
      <c r="F596" s="23"/>
      <c r="G596" s="24"/>
      <c r="H596" s="36"/>
    </row>
    <row r="597" spans="1:8" ht="12.75" customHeight="1" thickBot="1">
      <c r="A597" s="32">
        <v>46650</v>
      </c>
      <c r="B597" s="32"/>
      <c r="C597" s="33">
        <f>ROUND(96.7982253653543,5)</f>
        <v>96.79823</v>
      </c>
      <c r="D597" s="33">
        <f>F597</f>
        <v>101.18615</v>
      </c>
      <c r="E597" s="33">
        <f>F597</f>
        <v>101.18615</v>
      </c>
      <c r="F597" s="33">
        <f>ROUND(101.18614632052,5)</f>
        <v>101.18615</v>
      </c>
      <c r="G597" s="34"/>
      <c r="H597" s="37"/>
    </row>
  </sheetData>
  <sheetProtection/>
  <mergeCells count="596"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2017-12-29T11:13:47Z</dcterms:modified>
  <cp:category/>
  <cp:version/>
  <cp:contentType/>
  <cp:contentStatus/>
</cp:coreProperties>
</file>