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<sst xmlns="http://schemas.openxmlformats.org/spreadsheetml/2006/main" count="125" uniqueCount="121">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</sst>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556">
      <selection activeCell="T582" sqref="T58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43111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ROUND(99.4430632997441,2)</f>
        <v>99.44</v>
      </c>
      <c r="D6" s="24">
        <f>F6</f>
        <v>99.72</v>
      </c>
      <c r="E6" s="24">
        <f>F6</f>
        <v>99.72</v>
      </c>
      <c r="F6" s="24">
        <f>ROUND(99.7245477184251,2)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ROUND(99.4430632997441,2)</f>
        <v>99.44</v>
      </c>
      <c r="D7" s="24">
        <f>F7</f>
        <v>99.89</v>
      </c>
      <c r="E7" s="24">
        <f>F7</f>
        <v>99.89</v>
      </c>
      <c r="F7" s="24">
        <f>ROUND(99.886822877959,2)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ROUND(99.4430632997441,2)</f>
        <v>99.44</v>
      </c>
      <c r="D8" s="24">
        <f>F8</f>
        <v>100.01</v>
      </c>
      <c r="E8" s="24">
        <f>F8</f>
        <v>100.01</v>
      </c>
      <c r="F8" s="24">
        <f>ROUND(100.014728353318,2)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ROUND(99.4430632997441,2)</f>
        <v>99.44</v>
      </c>
      <c r="D9" s="24">
        <f>F9</f>
        <v>100.45</v>
      </c>
      <c r="E9" s="24">
        <f>F9</f>
        <v>100.45</v>
      </c>
      <c r="F9" s="24">
        <f>ROUND(100.445861392371,2)</f>
        <v>100.45</v>
      </c>
      <c r="G9" s="24"/>
      <c r="H9" s="25"/>
    </row>
    <row r="10" spans="1:8" ht="12.75" customHeight="1">
      <c r="A10" s="23">
        <v>43546</v>
      </c>
      <c r="B10" s="23"/>
      <c r="C10" s="24">
        <f>ROUND(99.4430632997441,2)</f>
        <v>99.44</v>
      </c>
      <c r="D10" s="24">
        <f>F10</f>
        <v>99.44</v>
      </c>
      <c r="E10" s="24">
        <f>F10</f>
        <v>99.44</v>
      </c>
      <c r="F10" s="24">
        <f>ROUND(99.4430632997441,2)</f>
        <v>99.44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ROUND(98.6296092054903,2)</f>
        <v>98.63</v>
      </c>
      <c r="D12" s="24">
        <f>F12</f>
        <v>99.01</v>
      </c>
      <c r="E12" s="24">
        <f>F12</f>
        <v>99.01</v>
      </c>
      <c r="F12" s="24">
        <f>ROUND(99.0074459308822,2)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ROUND(98.6296092054903,2)</f>
        <v>98.63</v>
      </c>
      <c r="D13" s="24">
        <f>F13</f>
        <v>98.58</v>
      </c>
      <c r="E13" s="24">
        <f>F13</f>
        <v>98.58</v>
      </c>
      <c r="F13" s="24">
        <f>ROUND(98.5791400547209,2)</f>
        <v>98.58</v>
      </c>
      <c r="G13" s="24"/>
      <c r="H13" s="25"/>
    </row>
    <row r="14" spans="1:8" ht="12.75" customHeight="1">
      <c r="A14" s="23">
        <v>43364</v>
      </c>
      <c r="B14" s="23"/>
      <c r="C14" s="24">
        <f>ROUND(98.6296092054903,2)</f>
        <v>98.63</v>
      </c>
      <c r="D14" s="24">
        <f>F14</f>
        <v>98.48</v>
      </c>
      <c r="E14" s="24">
        <f>F14</f>
        <v>98.48</v>
      </c>
      <c r="F14" s="24">
        <f>ROUND(98.4847393773644,2)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ROUND(98.6296092054903,2)</f>
        <v>98.63</v>
      </c>
      <c r="D15" s="24">
        <f>F15</f>
        <v>98.83</v>
      </c>
      <c r="E15" s="24">
        <f>F15</f>
        <v>98.83</v>
      </c>
      <c r="F15" s="24">
        <f>ROUND(98.8266986803876,2)</f>
        <v>98.83</v>
      </c>
      <c r="G15" s="24"/>
      <c r="H15" s="25"/>
    </row>
    <row r="16" spans="1:8" ht="12.75" customHeight="1">
      <c r="A16" s="23">
        <v>43539</v>
      </c>
      <c r="B16" s="23"/>
      <c r="C16" s="24">
        <f>ROUND(98.6296092054903,2)</f>
        <v>98.63</v>
      </c>
      <c r="D16" s="24">
        <f>F16</f>
        <v>99.2</v>
      </c>
      <c r="E16" s="24">
        <f>F16</f>
        <v>99.2</v>
      </c>
      <c r="F16" s="24">
        <f>ROUND(99.1978793259629,2)</f>
        <v>99.2</v>
      </c>
      <c r="G16" s="24"/>
      <c r="H16" s="25"/>
    </row>
    <row r="17" spans="1:8" ht="12.75" customHeight="1">
      <c r="A17" s="23">
        <v>43637</v>
      </c>
      <c r="B17" s="23"/>
      <c r="C17" s="24">
        <f>ROUND(98.6296092054903,2)</f>
        <v>98.63</v>
      </c>
      <c r="D17" s="24">
        <f>F17</f>
        <v>99.55</v>
      </c>
      <c r="E17" s="24">
        <f>F17</f>
        <v>99.55</v>
      </c>
      <c r="F17" s="24">
        <f>ROUND(99.5534943955088,2)</f>
        <v>99.55</v>
      </c>
      <c r="G17" s="24"/>
      <c r="H17" s="25"/>
    </row>
    <row r="18" spans="1:8" ht="12.75" customHeight="1">
      <c r="A18" s="23">
        <v>43728</v>
      </c>
      <c r="B18" s="23"/>
      <c r="C18" s="24">
        <f>ROUND(98.6296092054903,2)</f>
        <v>98.63</v>
      </c>
      <c r="D18" s="24">
        <f>F18</f>
        <v>99.93</v>
      </c>
      <c r="E18" s="24">
        <f>F18</f>
        <v>99.93</v>
      </c>
      <c r="F18" s="24">
        <f>ROUND(99.9347339834702,2)</f>
        <v>99.93</v>
      </c>
      <c r="G18" s="24"/>
      <c r="H18" s="25"/>
    </row>
    <row r="19" spans="1:8" ht="12.75" customHeight="1">
      <c r="A19" s="23">
        <v>43819</v>
      </c>
      <c r="B19" s="23"/>
      <c r="C19" s="24">
        <f>ROUND(98.6296092054903,2)</f>
        <v>98.63</v>
      </c>
      <c r="D19" s="24">
        <f>F19</f>
        <v>100.87</v>
      </c>
      <c r="E19" s="24">
        <f>F19</f>
        <v>100.87</v>
      </c>
      <c r="F19" s="24">
        <f>ROUND(100.871476792784,2)</f>
        <v>100.87</v>
      </c>
      <c r="G19" s="24"/>
      <c r="H19" s="25"/>
    </row>
    <row r="20" spans="1:8" ht="12.75" customHeight="1">
      <c r="A20" s="23">
        <v>43913</v>
      </c>
      <c r="B20" s="23"/>
      <c r="C20" s="24">
        <f>ROUND(98.6296092054903,2)</f>
        <v>98.63</v>
      </c>
      <c r="D20" s="24">
        <f>F20</f>
        <v>98.63</v>
      </c>
      <c r="E20" s="24">
        <f>F20</f>
        <v>98.63</v>
      </c>
      <c r="F20" s="24">
        <f>ROUND(98.6296092054903,2)</f>
        <v>98.63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ROUND(96.857539308638,2)</f>
        <v>96.86</v>
      </c>
      <c r="D22" s="24">
        <f>F22</f>
        <v>96.14</v>
      </c>
      <c r="E22" s="24">
        <f>F22</f>
        <v>96.14</v>
      </c>
      <c r="F22" s="24">
        <f>ROUND(96.1406298624332,2)</f>
        <v>96.14</v>
      </c>
      <c r="G22" s="24"/>
      <c r="H22" s="25"/>
    </row>
    <row r="23" spans="1:8" ht="12.75" customHeight="1">
      <c r="A23" s="23">
        <v>44271</v>
      </c>
      <c r="B23" s="23"/>
      <c r="C23" s="24">
        <f>ROUND(96.857539308638,2)</f>
        <v>96.86</v>
      </c>
      <c r="D23" s="24">
        <f>F23</f>
        <v>95.37</v>
      </c>
      <c r="E23" s="24">
        <f>F23</f>
        <v>95.37</v>
      </c>
      <c r="F23" s="24">
        <f>ROUND(95.3741814526346,2)</f>
        <v>95.37</v>
      </c>
      <c r="G23" s="24"/>
      <c r="H23" s="25"/>
    </row>
    <row r="24" spans="1:8" ht="12.75" customHeight="1">
      <c r="A24" s="23">
        <v>44362</v>
      </c>
      <c r="B24" s="23"/>
      <c r="C24" s="24">
        <f>ROUND(96.857539308638,2)</f>
        <v>96.86</v>
      </c>
      <c r="D24" s="24">
        <f>F24</f>
        <v>94.58</v>
      </c>
      <c r="E24" s="24">
        <f>F24</f>
        <v>94.58</v>
      </c>
      <c r="F24" s="24">
        <f>ROUND(94.5758238167346,2)</f>
        <v>94.58</v>
      </c>
      <c r="G24" s="24"/>
      <c r="H24" s="25"/>
    </row>
    <row r="25" spans="1:8" ht="12.75" customHeight="1">
      <c r="A25" s="23">
        <v>44460</v>
      </c>
      <c r="B25" s="23"/>
      <c r="C25" s="24">
        <f>ROUND(96.857539308638,2)</f>
        <v>96.86</v>
      </c>
      <c r="D25" s="24">
        <f>F25</f>
        <v>94.75</v>
      </c>
      <c r="E25" s="24">
        <f>F25</f>
        <v>94.75</v>
      </c>
      <c r="F25" s="24">
        <f>ROUND(94.7508683956711,2)</f>
        <v>94.75</v>
      </c>
      <c r="G25" s="24"/>
      <c r="H25" s="25"/>
    </row>
    <row r="26" spans="1:8" ht="12.75" customHeight="1">
      <c r="A26" s="23">
        <v>44551</v>
      </c>
      <c r="B26" s="23"/>
      <c r="C26" s="24">
        <f>ROUND(96.857539308638,2)</f>
        <v>96.86</v>
      </c>
      <c r="D26" s="24">
        <f>F26</f>
        <v>96.95</v>
      </c>
      <c r="E26" s="24">
        <f>F26</f>
        <v>96.95</v>
      </c>
      <c r="F26" s="24">
        <f>ROUND(96.9481901994853,2)</f>
        <v>96.95</v>
      </c>
      <c r="G26" s="24"/>
      <c r="H26" s="25"/>
    </row>
    <row r="27" spans="1:8" ht="12.75" customHeight="1">
      <c r="A27" s="23">
        <v>44635</v>
      </c>
      <c r="B27" s="23"/>
      <c r="C27" s="24">
        <f>ROUND(96.857539308638,2)</f>
        <v>96.86</v>
      </c>
      <c r="D27" s="24">
        <f>F27</f>
        <v>97.09</v>
      </c>
      <c r="E27" s="24">
        <f>F27</f>
        <v>97.09</v>
      </c>
      <c r="F27" s="24">
        <f>ROUND(97.0915583504013,2)</f>
        <v>97.09</v>
      </c>
      <c r="G27" s="24"/>
      <c r="H27" s="25"/>
    </row>
    <row r="28" spans="1:8" ht="12.75" customHeight="1">
      <c r="A28" s="23">
        <v>44733</v>
      </c>
      <c r="B28" s="23"/>
      <c r="C28" s="24">
        <f>ROUND(96.857539308638,2)</f>
        <v>96.86</v>
      </c>
      <c r="D28" s="24">
        <f>F28</f>
        <v>98.28</v>
      </c>
      <c r="E28" s="24">
        <f>F28</f>
        <v>98.28</v>
      </c>
      <c r="F28" s="24">
        <f>ROUND(98.2800321958657,2)</f>
        <v>98.28</v>
      </c>
      <c r="G28" s="24"/>
      <c r="H28" s="25"/>
    </row>
    <row r="29" spans="1:8" ht="12.75" customHeight="1">
      <c r="A29" s="23">
        <v>44824</v>
      </c>
      <c r="B29" s="23"/>
      <c r="C29" s="24">
        <f>ROUND(96.857539308638,2)</f>
        <v>96.86</v>
      </c>
      <c r="D29" s="24">
        <f>F29</f>
        <v>100.48</v>
      </c>
      <c r="E29" s="24">
        <f>F29</f>
        <v>100.48</v>
      </c>
      <c r="F29" s="24">
        <f>ROUND(100.481445254541,2)</f>
        <v>100.48</v>
      </c>
      <c r="G29" s="24"/>
      <c r="H29" s="25"/>
    </row>
    <row r="30" spans="1:8" ht="12.75" customHeight="1">
      <c r="A30" s="23">
        <v>44915</v>
      </c>
      <c r="B30" s="23"/>
      <c r="C30" s="24">
        <f>ROUND(96.857539308638,2)</f>
        <v>96.86</v>
      </c>
      <c r="D30" s="24">
        <f>F30</f>
        <v>101.73</v>
      </c>
      <c r="E30" s="24">
        <f>F30</f>
        <v>101.73</v>
      </c>
      <c r="F30" s="24">
        <f>ROUND(101.73321416874,2)</f>
        <v>101.73</v>
      </c>
      <c r="G30" s="24"/>
      <c r="H30" s="25"/>
    </row>
    <row r="31" spans="1:8" ht="12.75" customHeight="1">
      <c r="A31" s="23">
        <v>45007</v>
      </c>
      <c r="B31" s="23"/>
      <c r="C31" s="24">
        <f>ROUND(96.857539308638,2)</f>
        <v>96.86</v>
      </c>
      <c r="D31" s="24">
        <f>F31</f>
        <v>96.86</v>
      </c>
      <c r="E31" s="24">
        <f>F31</f>
        <v>96.86</v>
      </c>
      <c r="F31" s="24">
        <f>ROUND(96.857539308638,2)</f>
        <v>96.86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ROUND(96.7591519745321,2)</f>
        <v>96.76</v>
      </c>
      <c r="D33" s="24">
        <f>F33</f>
        <v>95.08</v>
      </c>
      <c r="E33" s="24">
        <f>F33</f>
        <v>95.08</v>
      </c>
      <c r="F33" s="24">
        <f>ROUND(95.0807618307699,2)</f>
        <v>95.08</v>
      </c>
      <c r="G33" s="24"/>
      <c r="H33" s="25"/>
    </row>
    <row r="34" spans="1:8" ht="12.75" customHeight="1">
      <c r="A34" s="23">
        <v>46097</v>
      </c>
      <c r="B34" s="23"/>
      <c r="C34" s="24">
        <f>ROUND(96.7591519745321,2)</f>
        <v>96.76</v>
      </c>
      <c r="D34" s="24">
        <f>F34</f>
        <v>92.1</v>
      </c>
      <c r="E34" s="24">
        <f>F34</f>
        <v>92.1</v>
      </c>
      <c r="F34" s="24">
        <f>ROUND(92.0971953780526,2)</f>
        <v>92.1</v>
      </c>
      <c r="G34" s="24"/>
      <c r="H34" s="25"/>
    </row>
    <row r="35" spans="1:8" ht="12.75" customHeight="1">
      <c r="A35" s="23">
        <v>46188</v>
      </c>
      <c r="B35" s="23"/>
      <c r="C35" s="24">
        <f>ROUND(96.7591519745321,2)</f>
        <v>96.76</v>
      </c>
      <c r="D35" s="24">
        <f>F35</f>
        <v>90.85</v>
      </c>
      <c r="E35" s="24">
        <f>F35</f>
        <v>90.85</v>
      </c>
      <c r="F35" s="24">
        <f>ROUND(90.853774785206,2)</f>
        <v>90.85</v>
      </c>
      <c r="G35" s="24"/>
      <c r="H35" s="25"/>
    </row>
    <row r="36" spans="1:8" ht="12.75" customHeight="1">
      <c r="A36" s="23">
        <v>46286</v>
      </c>
      <c r="B36" s="23"/>
      <c r="C36" s="24">
        <f>ROUND(96.7591519745321,2)</f>
        <v>96.76</v>
      </c>
      <c r="D36" s="24">
        <f>F36</f>
        <v>93.01</v>
      </c>
      <c r="E36" s="24">
        <f>F36</f>
        <v>93.01</v>
      </c>
      <c r="F36" s="24">
        <f>ROUND(93.0141549267495,2)</f>
        <v>93.01</v>
      </c>
      <c r="G36" s="24"/>
      <c r="H36" s="25"/>
    </row>
    <row r="37" spans="1:8" ht="12.75" customHeight="1">
      <c r="A37" s="23">
        <v>46377</v>
      </c>
      <c r="B37" s="23"/>
      <c r="C37" s="24">
        <f>ROUND(96.7591519745321,2)</f>
        <v>96.76</v>
      </c>
      <c r="D37" s="24">
        <f>F37</f>
        <v>96.8</v>
      </c>
      <c r="E37" s="24">
        <f>F37</f>
        <v>96.8</v>
      </c>
      <c r="F37" s="24">
        <f>ROUND(96.7967157989562,2)</f>
        <v>96.8</v>
      </c>
      <c r="G37" s="24"/>
      <c r="H37" s="25"/>
    </row>
    <row r="38" spans="1:8" ht="12.75" customHeight="1">
      <c r="A38" s="23">
        <v>46461</v>
      </c>
      <c r="B38" s="23"/>
      <c r="C38" s="24">
        <f>ROUND(96.7591519745321,2)</f>
        <v>96.76</v>
      </c>
      <c r="D38" s="24">
        <f>F38</f>
        <v>95.38</v>
      </c>
      <c r="E38" s="24">
        <f>F38</f>
        <v>95.38</v>
      </c>
      <c r="F38" s="24">
        <f>ROUND(95.3768265693196,2)</f>
        <v>95.38</v>
      </c>
      <c r="G38" s="24"/>
      <c r="H38" s="25"/>
    </row>
    <row r="39" spans="1:8" ht="12.75" customHeight="1">
      <c r="A39" s="23">
        <v>46559</v>
      </c>
      <c r="B39" s="23"/>
      <c r="C39" s="24">
        <f>ROUND(96.7591519745321,2)</f>
        <v>96.76</v>
      </c>
      <c r="D39" s="24">
        <f>F39</f>
        <v>97.44</v>
      </c>
      <c r="E39" s="24">
        <f>F39</f>
        <v>97.44</v>
      </c>
      <c r="F39" s="24">
        <f>ROUND(97.4360032471884,2)</f>
        <v>97.44</v>
      </c>
      <c r="G39" s="24"/>
      <c r="H39" s="25"/>
    </row>
    <row r="40" spans="1:8" ht="12.75" customHeight="1">
      <c r="A40" s="23">
        <v>46650</v>
      </c>
      <c r="B40" s="23"/>
      <c r="C40" s="24">
        <f>ROUND(96.7591519745321,2)</f>
        <v>96.76</v>
      </c>
      <c r="D40" s="24">
        <f>F40</f>
        <v>101.15</v>
      </c>
      <c r="E40" s="24">
        <f>F40</f>
        <v>101.15</v>
      </c>
      <c r="F40" s="24">
        <f>ROUND(101.148286002132,2)</f>
        <v>101.15</v>
      </c>
      <c r="G40" s="24"/>
      <c r="H40" s="25"/>
    </row>
    <row r="41" spans="1:8" ht="12.75" customHeight="1">
      <c r="A41" s="23">
        <v>46741</v>
      </c>
      <c r="B41" s="23"/>
      <c r="C41" s="24">
        <f>ROUND(96.7591519745321,2)</f>
        <v>96.76</v>
      </c>
      <c r="D41" s="24">
        <f>F41</f>
        <v>101.5</v>
      </c>
      <c r="E41" s="24">
        <f>F41</f>
        <v>101.5</v>
      </c>
      <c r="F41" s="24">
        <f>ROUND(101.499056909324,2)</f>
        <v>101.5</v>
      </c>
      <c r="G41" s="24"/>
      <c r="H41" s="25"/>
    </row>
    <row r="42" spans="1:8" ht="12.75" customHeight="1">
      <c r="A42" s="23">
        <v>46834</v>
      </c>
      <c r="B42" s="23"/>
      <c r="C42" s="24">
        <f>ROUND(96.7591519745321,2)</f>
        <v>96.76</v>
      </c>
      <c r="D42" s="24">
        <f>F42</f>
        <v>96.76</v>
      </c>
      <c r="E42" s="24">
        <f>F42</f>
        <v>96.76</v>
      </c>
      <c r="F42" s="24">
        <f>ROUND(96.7591519745321,2)</f>
        <v>96.76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ROUND(2.4,5)</f>
        <v>2.4</v>
      </c>
      <c r="D44" s="27">
        <f>F44</f>
        <v>2.4</v>
      </c>
      <c r="E44" s="27">
        <f>F44</f>
        <v>2.4</v>
      </c>
      <c r="F44" s="27">
        <f>ROUND(2.4,5)</f>
        <v>2.4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ROUND(2.58,5)</f>
        <v>2.58</v>
      </c>
      <c r="D46" s="27">
        <f>F46</f>
        <v>2.58</v>
      </c>
      <c r="E46" s="27">
        <f>F46</f>
        <v>2.58</v>
      </c>
      <c r="F46" s="27">
        <f>ROUND(2.58,5)</f>
        <v>2.58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ROUND(2.58,5)</f>
        <v>2.58</v>
      </c>
      <c r="D48" s="27">
        <f>F48</f>
        <v>2.58</v>
      </c>
      <c r="E48" s="27">
        <f>F48</f>
        <v>2.58</v>
      </c>
      <c r="F48" s="27">
        <f>ROUND(2.58,5)</f>
        <v>2.58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ROUND(3.24,5)</f>
        <v>3.24</v>
      </c>
      <c r="D50" s="27">
        <f>F50</f>
        <v>3.24</v>
      </c>
      <c r="E50" s="27">
        <f>F50</f>
        <v>3.24</v>
      </c>
      <c r="F50" s="27">
        <f>ROUND(3.24,5)</f>
        <v>3.24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ROUND(10.69,5)</f>
        <v>10.69</v>
      </c>
      <c r="D52" s="27">
        <f>F52</f>
        <v>10.69</v>
      </c>
      <c r="E52" s="27">
        <f>F52</f>
        <v>10.69</v>
      </c>
      <c r="F52" s="27">
        <f>ROUND(10.69,5)</f>
        <v>10.69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ROUND(7.9,5)</f>
        <v>7.9</v>
      </c>
      <c r="D54" s="27">
        <f>F54</f>
        <v>7.9</v>
      </c>
      <c r="E54" s="27">
        <f>F54</f>
        <v>7.9</v>
      </c>
      <c r="F54" s="27">
        <f>ROUND(7.9,5)</f>
        <v>7.9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ROUND(8.6,3)</f>
        <v>8.6</v>
      </c>
      <c r="D56" s="29">
        <f>F56</f>
        <v>8.6</v>
      </c>
      <c r="E56" s="29">
        <f>F56</f>
        <v>8.6</v>
      </c>
      <c r="F56" s="29">
        <f>ROUND(8.6,3)</f>
        <v>8.6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ROUND(2.36,3)</f>
        <v>2.36</v>
      </c>
      <c r="D58" s="29">
        <f>F58</f>
        <v>2.36</v>
      </c>
      <c r="E58" s="29">
        <f>F58</f>
        <v>2.36</v>
      </c>
      <c r="F58" s="29">
        <f>ROUND(2.36,3)</f>
        <v>2.36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ROUND(2.58,3)</f>
        <v>2.58</v>
      </c>
      <c r="D60" s="29">
        <f>F60</f>
        <v>2.58</v>
      </c>
      <c r="E60" s="29">
        <f>F60</f>
        <v>2.58</v>
      </c>
      <c r="F60" s="29">
        <f>ROUND(2.58,3)</f>
        <v>2.58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ROUND(7.135,3)</f>
        <v>7.135</v>
      </c>
      <c r="D62" s="29">
        <f>F62</f>
        <v>7.135</v>
      </c>
      <c r="E62" s="29">
        <f>F62</f>
        <v>7.135</v>
      </c>
      <c r="F62" s="29">
        <f>ROUND(7.135,3)</f>
        <v>7.135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ROUND(7.28,3)</f>
        <v>7.28</v>
      </c>
      <c r="D64" s="29">
        <f>F64</f>
        <v>7.28</v>
      </c>
      <c r="E64" s="29">
        <f>F64</f>
        <v>7.28</v>
      </c>
      <c r="F64" s="29">
        <f>ROUND(7.28,3)</f>
        <v>7.28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ROUND(7.56,3)</f>
        <v>7.56</v>
      </c>
      <c r="D66" s="29">
        <f>F66</f>
        <v>7.56</v>
      </c>
      <c r="E66" s="29">
        <f>F66</f>
        <v>7.56</v>
      </c>
      <c r="F66" s="29">
        <f>ROUND(7.56,3)</f>
        <v>7.56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ROUND(9.45,3)</f>
        <v>9.45</v>
      </c>
      <c r="D68" s="29">
        <f>F68</f>
        <v>9.45</v>
      </c>
      <c r="E68" s="29">
        <f>F68</f>
        <v>9.45</v>
      </c>
      <c r="F68" s="29">
        <f>ROUND(9.45,3)</f>
        <v>9.45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ROUND(2.52,3)</f>
        <v>2.52</v>
      </c>
      <c r="D70" s="29">
        <f>F70</f>
        <v>2.52</v>
      </c>
      <c r="E70" s="29">
        <f>F70</f>
        <v>2.52</v>
      </c>
      <c r="F70" s="29">
        <f>ROUND(2.52,3)</f>
        <v>2.52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ROUND(9.215,3)</f>
        <v>9.215</v>
      </c>
      <c r="D74" s="29">
        <f>F74</f>
        <v>9.215</v>
      </c>
      <c r="E74" s="29">
        <f>F74</f>
        <v>9.215</v>
      </c>
      <c r="F74" s="29">
        <f>ROUND(9.215,3)</f>
        <v>9.215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ROUND(2.4,5)</f>
        <v>2.4</v>
      </c>
      <c r="D76" s="27">
        <f>F76</f>
        <v>130.89047</v>
      </c>
      <c r="E76" s="27">
        <f>F76</f>
        <v>130.89047</v>
      </c>
      <c r="F76" s="27">
        <f>ROUND(130.89047,5)</f>
        <v>130.89047</v>
      </c>
      <c r="G76" s="24"/>
      <c r="H76" s="25"/>
    </row>
    <row r="77" spans="1:8" ht="12.75" customHeight="1">
      <c r="A77" s="23">
        <v>43223</v>
      </c>
      <c r="B77" s="23"/>
      <c r="C77" s="27">
        <f>ROUND(2.4,5)</f>
        <v>2.4</v>
      </c>
      <c r="D77" s="27">
        <f>F77</f>
        <v>133.34448</v>
      </c>
      <c r="E77" s="27">
        <f>F77</f>
        <v>133.34448</v>
      </c>
      <c r="F77" s="27">
        <f>ROUND(133.34448,5)</f>
        <v>133.34448</v>
      </c>
      <c r="G77" s="24"/>
      <c r="H77" s="25"/>
    </row>
    <row r="78" spans="1:8" ht="12.75" customHeight="1">
      <c r="A78" s="23">
        <v>43314</v>
      </c>
      <c r="B78" s="23"/>
      <c r="C78" s="27">
        <f>ROUND(2.4,5)</f>
        <v>2.4</v>
      </c>
      <c r="D78" s="27">
        <f>F78</f>
        <v>135.81719</v>
      </c>
      <c r="E78" s="27">
        <f>F78</f>
        <v>135.81719</v>
      </c>
      <c r="F78" s="27">
        <f>ROUND(135.81719,5)</f>
        <v>135.81719</v>
      </c>
      <c r="G78" s="24"/>
      <c r="H78" s="25"/>
    </row>
    <row r="79" spans="1:8" ht="12.75" customHeight="1">
      <c r="A79" s="23">
        <v>43405</v>
      </c>
      <c r="B79" s="23"/>
      <c r="C79" s="27">
        <f>ROUND(2.4,5)</f>
        <v>2.4</v>
      </c>
      <c r="D79" s="27">
        <f>F79</f>
        <v>138.48175</v>
      </c>
      <c r="E79" s="27">
        <f>F79</f>
        <v>138.48175</v>
      </c>
      <c r="F79" s="27">
        <f>ROUND(138.48175,5)</f>
        <v>138.48175</v>
      </c>
      <c r="G79" s="24"/>
      <c r="H79" s="25"/>
    </row>
    <row r="80" spans="1:8" ht="12.75" customHeight="1">
      <c r="A80" s="23">
        <v>43503</v>
      </c>
      <c r="B80" s="23"/>
      <c r="C80" s="27">
        <f>ROUND(2.4,5)</f>
        <v>2.4</v>
      </c>
      <c r="D80" s="27">
        <f>F80</f>
        <v>141.33821</v>
      </c>
      <c r="E80" s="27">
        <f>F80</f>
        <v>141.33821</v>
      </c>
      <c r="F80" s="27">
        <f>ROUND(141.33821,5)</f>
        <v>141.33821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ROUND(100.57797,5)</f>
        <v>100.57797</v>
      </c>
      <c r="D82" s="27">
        <f>F82</f>
        <v>101.00031</v>
      </c>
      <c r="E82" s="27">
        <f>F82</f>
        <v>101.00031</v>
      </c>
      <c r="F82" s="27">
        <f>ROUND(101.00031,5)</f>
        <v>101.00031</v>
      </c>
      <c r="G82" s="24"/>
      <c r="H82" s="25"/>
    </row>
    <row r="83" spans="1:8" ht="12.75" customHeight="1">
      <c r="A83" s="23">
        <v>43223</v>
      </c>
      <c r="B83" s="23"/>
      <c r="C83" s="27">
        <f>ROUND(100.57797,5)</f>
        <v>100.57797</v>
      </c>
      <c r="D83" s="27">
        <f>F83</f>
        <v>101.87581</v>
      </c>
      <c r="E83" s="27">
        <f>F83</f>
        <v>101.87581</v>
      </c>
      <c r="F83" s="27">
        <f>ROUND(101.87581,5)</f>
        <v>101.87581</v>
      </c>
      <c r="G83" s="24"/>
      <c r="H83" s="25"/>
    </row>
    <row r="84" spans="1:8" ht="12.75" customHeight="1">
      <c r="A84" s="23">
        <v>43314</v>
      </c>
      <c r="B84" s="23"/>
      <c r="C84" s="27">
        <f>ROUND(100.57797,5)</f>
        <v>100.57797</v>
      </c>
      <c r="D84" s="27">
        <f>F84</f>
        <v>103.7989</v>
      </c>
      <c r="E84" s="27">
        <f>F84</f>
        <v>103.7989</v>
      </c>
      <c r="F84" s="27">
        <f>ROUND(103.7989,5)</f>
        <v>103.7989</v>
      </c>
      <c r="G84" s="24"/>
      <c r="H84" s="25"/>
    </row>
    <row r="85" spans="1:8" ht="12.75" customHeight="1">
      <c r="A85" s="23">
        <v>43405</v>
      </c>
      <c r="B85" s="23"/>
      <c r="C85" s="27">
        <f>ROUND(100.57797,5)</f>
        <v>100.57797</v>
      </c>
      <c r="D85" s="27">
        <f>F85</f>
        <v>105.83535</v>
      </c>
      <c r="E85" s="27">
        <f>F85</f>
        <v>105.83535</v>
      </c>
      <c r="F85" s="27">
        <f>ROUND(105.83535,5)</f>
        <v>105.83535</v>
      </c>
      <c r="G85" s="24"/>
      <c r="H85" s="25"/>
    </row>
    <row r="86" spans="1:8" ht="12.75" customHeight="1">
      <c r="A86" s="23">
        <v>43503</v>
      </c>
      <c r="B86" s="23"/>
      <c r="C86" s="27">
        <f>ROUND(100.57797,5)</f>
        <v>100.57797</v>
      </c>
      <c r="D86" s="27">
        <f>F86</f>
        <v>108.01831</v>
      </c>
      <c r="E86" s="27">
        <f>F86</f>
        <v>108.01831</v>
      </c>
      <c r="F86" s="27">
        <f>ROUND(108.01831,5)</f>
        <v>108.01831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ROUND(9.14,5)</f>
        <v>9.14</v>
      </c>
      <c r="D88" s="27">
        <f>F88</f>
        <v>9.15315</v>
      </c>
      <c r="E88" s="27">
        <f>F88</f>
        <v>9.15315</v>
      </c>
      <c r="F88" s="27">
        <f>ROUND(9.15315,5)</f>
        <v>9.15315</v>
      </c>
      <c r="G88" s="24"/>
      <c r="H88" s="25"/>
    </row>
    <row r="89" spans="1:8" ht="12.75" customHeight="1">
      <c r="A89" s="23">
        <v>43223</v>
      </c>
      <c r="B89" s="23"/>
      <c r="C89" s="27">
        <f>ROUND(9.14,5)</f>
        <v>9.14</v>
      </c>
      <c r="D89" s="27">
        <f>F89</f>
        <v>9.20899</v>
      </c>
      <c r="E89" s="27">
        <f>F89</f>
        <v>9.20899</v>
      </c>
      <c r="F89" s="27">
        <f>ROUND(9.20899,5)</f>
        <v>9.20899</v>
      </c>
      <c r="G89" s="24"/>
      <c r="H89" s="25"/>
    </row>
    <row r="90" spans="1:8" ht="12.75" customHeight="1">
      <c r="A90" s="23">
        <v>43314</v>
      </c>
      <c r="B90" s="23"/>
      <c r="C90" s="27">
        <f>ROUND(9.14,5)</f>
        <v>9.14</v>
      </c>
      <c r="D90" s="27">
        <f>F90</f>
        <v>9.26756</v>
      </c>
      <c r="E90" s="27">
        <f>F90</f>
        <v>9.26756</v>
      </c>
      <c r="F90" s="27">
        <f>ROUND(9.26756,5)</f>
        <v>9.26756</v>
      </c>
      <c r="G90" s="24"/>
      <c r="H90" s="25"/>
    </row>
    <row r="91" spans="1:8" ht="12.75" customHeight="1">
      <c r="A91" s="23">
        <v>43405</v>
      </c>
      <c r="B91" s="23"/>
      <c r="C91" s="27">
        <f>ROUND(9.14,5)</f>
        <v>9.14</v>
      </c>
      <c r="D91" s="27">
        <f>F91</f>
        <v>9.31464</v>
      </c>
      <c r="E91" s="27">
        <f>F91</f>
        <v>9.31464</v>
      </c>
      <c r="F91" s="27">
        <f>ROUND(9.31464,5)</f>
        <v>9.31464</v>
      </c>
      <c r="G91" s="24"/>
      <c r="H91" s="25"/>
    </row>
    <row r="92" spans="1:8" ht="12.75" customHeight="1">
      <c r="A92" s="23">
        <v>43503</v>
      </c>
      <c r="B92" s="23"/>
      <c r="C92" s="27">
        <f>ROUND(9.14,5)</f>
        <v>9.14</v>
      </c>
      <c r="D92" s="27">
        <f>F92</f>
        <v>9.37348</v>
      </c>
      <c r="E92" s="27">
        <f>F92</f>
        <v>9.37348</v>
      </c>
      <c r="F92" s="27">
        <f>ROUND(9.37348,5)</f>
        <v>9.37348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ROUND(9.335,5)</f>
        <v>9.335</v>
      </c>
      <c r="D94" s="27">
        <f>F94</f>
        <v>9.349</v>
      </c>
      <c r="E94" s="27">
        <f>F94</f>
        <v>9.349</v>
      </c>
      <c r="F94" s="27">
        <f>ROUND(9.349,5)</f>
        <v>9.349</v>
      </c>
      <c r="G94" s="24"/>
      <c r="H94" s="25"/>
    </row>
    <row r="95" spans="1:8" ht="12.75" customHeight="1">
      <c r="A95" s="23">
        <v>43223</v>
      </c>
      <c r="B95" s="23"/>
      <c r="C95" s="27">
        <f>ROUND(9.335,5)</f>
        <v>9.335</v>
      </c>
      <c r="D95" s="27">
        <f>F95</f>
        <v>9.40518</v>
      </c>
      <c r="E95" s="27">
        <f>F95</f>
        <v>9.40518</v>
      </c>
      <c r="F95" s="27">
        <f>ROUND(9.40518,5)</f>
        <v>9.40518</v>
      </c>
      <c r="G95" s="24"/>
      <c r="H95" s="25"/>
    </row>
    <row r="96" spans="1:8" ht="12.75" customHeight="1">
      <c r="A96" s="23">
        <v>43314</v>
      </c>
      <c r="B96" s="23"/>
      <c r="C96" s="27">
        <f>ROUND(9.335,5)</f>
        <v>9.335</v>
      </c>
      <c r="D96" s="27">
        <f>F96</f>
        <v>9.46193</v>
      </c>
      <c r="E96" s="27">
        <f>F96</f>
        <v>9.46193</v>
      </c>
      <c r="F96" s="27">
        <f>ROUND(9.46193,5)</f>
        <v>9.46193</v>
      </c>
      <c r="G96" s="24"/>
      <c r="H96" s="25"/>
    </row>
    <row r="97" spans="1:8" ht="12.75" customHeight="1">
      <c r="A97" s="23">
        <v>43405</v>
      </c>
      <c r="B97" s="23"/>
      <c r="C97" s="27">
        <f>ROUND(9.335,5)</f>
        <v>9.335</v>
      </c>
      <c r="D97" s="27">
        <f>F97</f>
        <v>9.51434</v>
      </c>
      <c r="E97" s="27">
        <f>F97</f>
        <v>9.51434</v>
      </c>
      <c r="F97" s="27">
        <f>ROUND(9.51434,5)</f>
        <v>9.51434</v>
      </c>
      <c r="G97" s="24"/>
      <c r="H97" s="25"/>
    </row>
    <row r="98" spans="1:8" ht="12.75" customHeight="1">
      <c r="A98" s="23">
        <v>43503</v>
      </c>
      <c r="B98" s="23"/>
      <c r="C98" s="27">
        <f>ROUND(9.335,5)</f>
        <v>9.335</v>
      </c>
      <c r="D98" s="27">
        <f>F98</f>
        <v>9.57784</v>
      </c>
      <c r="E98" s="27">
        <f>F98</f>
        <v>9.57784</v>
      </c>
      <c r="F98" s="27">
        <f>ROUND(9.57784,5)</f>
        <v>9.57784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ROUND(104.94313,5)</f>
        <v>104.94313</v>
      </c>
      <c r="D100" s="27">
        <f>F100</f>
        <v>105.3838</v>
      </c>
      <c r="E100" s="27">
        <f>F100</f>
        <v>105.3838</v>
      </c>
      <c r="F100" s="27">
        <f>ROUND(105.3838,5)</f>
        <v>105.3838</v>
      </c>
      <c r="G100" s="24"/>
      <c r="H100" s="25"/>
    </row>
    <row r="101" spans="1:8" ht="12.75" customHeight="1">
      <c r="A101" s="23">
        <v>43223</v>
      </c>
      <c r="B101" s="23"/>
      <c r="C101" s="27">
        <f>ROUND(104.94313,5)</f>
        <v>104.94313</v>
      </c>
      <c r="D101" s="27">
        <f>F101</f>
        <v>106.27152</v>
      </c>
      <c r="E101" s="27">
        <f>F101</f>
        <v>106.27152</v>
      </c>
      <c r="F101" s="27">
        <f>ROUND(106.27152,5)</f>
        <v>106.27152</v>
      </c>
      <c r="G101" s="24"/>
      <c r="H101" s="25"/>
    </row>
    <row r="102" spans="1:8" ht="12.75" customHeight="1">
      <c r="A102" s="23">
        <v>43314</v>
      </c>
      <c r="B102" s="23"/>
      <c r="C102" s="27">
        <f>ROUND(104.94313,5)</f>
        <v>104.94313</v>
      </c>
      <c r="D102" s="27">
        <f>F102</f>
        <v>108.27767</v>
      </c>
      <c r="E102" s="27">
        <f>F102</f>
        <v>108.27767</v>
      </c>
      <c r="F102" s="27">
        <f>ROUND(108.27767,5)</f>
        <v>108.27767</v>
      </c>
      <c r="G102" s="24"/>
      <c r="H102" s="25"/>
    </row>
    <row r="103" spans="1:8" ht="12.75" customHeight="1">
      <c r="A103" s="23">
        <v>43405</v>
      </c>
      <c r="B103" s="23"/>
      <c r="C103" s="27">
        <f>ROUND(104.94313,5)</f>
        <v>104.94313</v>
      </c>
      <c r="D103" s="27">
        <f>F103</f>
        <v>110.40196</v>
      </c>
      <c r="E103" s="27">
        <f>F103</f>
        <v>110.40196</v>
      </c>
      <c r="F103" s="27">
        <f>ROUND(110.40196,5)</f>
        <v>110.40196</v>
      </c>
      <c r="G103" s="24"/>
      <c r="H103" s="25"/>
    </row>
    <row r="104" spans="1:8" ht="12.75" customHeight="1">
      <c r="A104" s="23">
        <v>43503</v>
      </c>
      <c r="B104" s="23"/>
      <c r="C104" s="27">
        <f>ROUND(104.94313,5)</f>
        <v>104.94313</v>
      </c>
      <c r="D104" s="27">
        <f>F104</f>
        <v>112.67917</v>
      </c>
      <c r="E104" s="27">
        <f>F104</f>
        <v>112.67917</v>
      </c>
      <c r="F104" s="27">
        <f>ROUND(112.67917,5)</f>
        <v>112.67917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ROUND(9.6,5)</f>
        <v>9.6</v>
      </c>
      <c r="D106" s="27">
        <f>F106</f>
        <v>9.61394</v>
      </c>
      <c r="E106" s="27">
        <f>F106</f>
        <v>9.61394</v>
      </c>
      <c r="F106" s="27">
        <f>ROUND(9.61394,5)</f>
        <v>9.61394</v>
      </c>
      <c r="G106" s="24"/>
      <c r="H106" s="25"/>
    </row>
    <row r="107" spans="1:8" ht="12.75" customHeight="1">
      <c r="A107" s="23">
        <v>43223</v>
      </c>
      <c r="B107" s="23"/>
      <c r="C107" s="27">
        <f>ROUND(9.6,5)</f>
        <v>9.6</v>
      </c>
      <c r="D107" s="27">
        <f>F107</f>
        <v>9.67318</v>
      </c>
      <c r="E107" s="27">
        <f>F107</f>
        <v>9.67318</v>
      </c>
      <c r="F107" s="27">
        <f>ROUND(9.67318,5)</f>
        <v>9.67318</v>
      </c>
      <c r="G107" s="24"/>
      <c r="H107" s="25"/>
    </row>
    <row r="108" spans="1:8" ht="12.75" customHeight="1">
      <c r="A108" s="23">
        <v>43314</v>
      </c>
      <c r="B108" s="23"/>
      <c r="C108" s="27">
        <f>ROUND(9.6,5)</f>
        <v>9.6</v>
      </c>
      <c r="D108" s="27">
        <f>F108</f>
        <v>9.7349</v>
      </c>
      <c r="E108" s="27">
        <f>F108</f>
        <v>9.7349</v>
      </c>
      <c r="F108" s="27">
        <f>ROUND(9.7349,5)</f>
        <v>9.7349</v>
      </c>
      <c r="G108" s="24"/>
      <c r="H108" s="25"/>
    </row>
    <row r="109" spans="1:8" ht="12.75" customHeight="1">
      <c r="A109" s="23">
        <v>43405</v>
      </c>
      <c r="B109" s="23"/>
      <c r="C109" s="27">
        <f>ROUND(9.6,5)</f>
        <v>9.6</v>
      </c>
      <c r="D109" s="27">
        <f>F109</f>
        <v>9.78654</v>
      </c>
      <c r="E109" s="27">
        <f>F109</f>
        <v>9.78654</v>
      </c>
      <c r="F109" s="27">
        <f>ROUND(9.78654,5)</f>
        <v>9.78654</v>
      </c>
      <c r="G109" s="24"/>
      <c r="H109" s="25"/>
    </row>
    <row r="110" spans="1:8" ht="12.75" customHeight="1">
      <c r="A110" s="23">
        <v>43503</v>
      </c>
      <c r="B110" s="23"/>
      <c r="C110" s="27">
        <f>ROUND(9.6,5)</f>
        <v>9.6</v>
      </c>
      <c r="D110" s="27">
        <f>F110</f>
        <v>9.8491</v>
      </c>
      <c r="E110" s="27">
        <f>F110</f>
        <v>9.8491</v>
      </c>
      <c r="F110" s="27">
        <f>ROUND(9.8491,5)</f>
        <v>9.8491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ROUND(2.58,5)</f>
        <v>2.58</v>
      </c>
      <c r="D112" s="27">
        <f>F112</f>
        <v>127.43247</v>
      </c>
      <c r="E112" s="27">
        <f>F112</f>
        <v>127.43247</v>
      </c>
      <c r="F112" s="27">
        <f>ROUND(127.43247,5)</f>
        <v>127.43247</v>
      </c>
      <c r="G112" s="24"/>
      <c r="H112" s="25"/>
    </row>
    <row r="113" spans="1:8" ht="12.75" customHeight="1">
      <c r="A113" s="23">
        <v>43223</v>
      </c>
      <c r="B113" s="23"/>
      <c r="C113" s="27">
        <f>ROUND(2.58,5)</f>
        <v>2.58</v>
      </c>
      <c r="D113" s="27">
        <f>F113</f>
        <v>129.8216</v>
      </c>
      <c r="E113" s="27">
        <f>F113</f>
        <v>129.8216</v>
      </c>
      <c r="F113" s="27">
        <f>ROUND(129.8216,5)</f>
        <v>129.8216</v>
      </c>
      <c r="G113" s="24"/>
      <c r="H113" s="25"/>
    </row>
    <row r="114" spans="1:8" ht="12.75" customHeight="1">
      <c r="A114" s="23">
        <v>43314</v>
      </c>
      <c r="B114" s="23"/>
      <c r="C114" s="27">
        <f>ROUND(2.58,5)</f>
        <v>2.58</v>
      </c>
      <c r="D114" s="27">
        <f>F114</f>
        <v>132.22231</v>
      </c>
      <c r="E114" s="27">
        <f>F114</f>
        <v>132.22231</v>
      </c>
      <c r="F114" s="27">
        <f>ROUND(132.22231,5)</f>
        <v>132.22231</v>
      </c>
      <c r="G114" s="24"/>
      <c r="H114" s="25"/>
    </row>
    <row r="115" spans="1:8" ht="12.75" customHeight="1">
      <c r="A115" s="23">
        <v>43405</v>
      </c>
      <c r="B115" s="23"/>
      <c r="C115" s="27">
        <f>ROUND(2.58,5)</f>
        <v>2.58</v>
      </c>
      <c r="D115" s="27">
        <f>F115</f>
        <v>134.81635</v>
      </c>
      <c r="E115" s="27">
        <f>F115</f>
        <v>134.81635</v>
      </c>
      <c r="F115" s="27">
        <f>ROUND(134.81635,5)</f>
        <v>134.81635</v>
      </c>
      <c r="G115" s="24"/>
      <c r="H115" s="25"/>
    </row>
    <row r="116" spans="1:8" ht="12.75" customHeight="1">
      <c r="A116" s="23">
        <v>43503</v>
      </c>
      <c r="B116" s="23"/>
      <c r="C116" s="27">
        <f>ROUND(2.58,5)</f>
        <v>2.58</v>
      </c>
      <c r="D116" s="27">
        <f>F116</f>
        <v>137.59719</v>
      </c>
      <c r="E116" s="27">
        <f>F116</f>
        <v>137.59719</v>
      </c>
      <c r="F116" s="27">
        <f>ROUND(137.59719,5)</f>
        <v>137.59719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ROUND(9.66,5)</f>
        <v>9.66</v>
      </c>
      <c r="D118" s="27">
        <f>F118</f>
        <v>9.67386</v>
      </c>
      <c r="E118" s="27">
        <f>F118</f>
        <v>9.67386</v>
      </c>
      <c r="F118" s="27">
        <f>ROUND(9.67386,5)</f>
        <v>9.67386</v>
      </c>
      <c r="G118" s="24"/>
      <c r="H118" s="25"/>
    </row>
    <row r="119" spans="1:8" ht="12.75" customHeight="1">
      <c r="A119" s="23">
        <v>43223</v>
      </c>
      <c r="B119" s="23"/>
      <c r="C119" s="27">
        <f>ROUND(9.66,5)</f>
        <v>9.66</v>
      </c>
      <c r="D119" s="27">
        <f>F119</f>
        <v>9.73276</v>
      </c>
      <c r="E119" s="27">
        <f>F119</f>
        <v>9.73276</v>
      </c>
      <c r="F119" s="27">
        <f>ROUND(9.73276,5)</f>
        <v>9.73276</v>
      </c>
      <c r="G119" s="24"/>
      <c r="H119" s="25"/>
    </row>
    <row r="120" spans="1:8" ht="12.75" customHeight="1">
      <c r="A120" s="23">
        <v>43314</v>
      </c>
      <c r="B120" s="23"/>
      <c r="C120" s="27">
        <f>ROUND(9.66,5)</f>
        <v>9.66</v>
      </c>
      <c r="D120" s="27">
        <f>F120</f>
        <v>9.79407</v>
      </c>
      <c r="E120" s="27">
        <f>F120</f>
        <v>9.79407</v>
      </c>
      <c r="F120" s="27">
        <f>ROUND(9.79407,5)</f>
        <v>9.79407</v>
      </c>
      <c r="G120" s="24"/>
      <c r="H120" s="25"/>
    </row>
    <row r="121" spans="1:8" ht="12.75" customHeight="1">
      <c r="A121" s="23">
        <v>43405</v>
      </c>
      <c r="B121" s="23"/>
      <c r="C121" s="27">
        <f>ROUND(9.66,5)</f>
        <v>9.66</v>
      </c>
      <c r="D121" s="27">
        <f>F121</f>
        <v>9.8455</v>
      </c>
      <c r="E121" s="27">
        <f>F121</f>
        <v>9.8455</v>
      </c>
      <c r="F121" s="27">
        <f>ROUND(9.8455,5)</f>
        <v>9.8455</v>
      </c>
      <c r="G121" s="24"/>
      <c r="H121" s="25"/>
    </row>
    <row r="122" spans="1:8" ht="12.75" customHeight="1">
      <c r="A122" s="23">
        <v>43503</v>
      </c>
      <c r="B122" s="23"/>
      <c r="C122" s="27">
        <f>ROUND(9.66,5)</f>
        <v>9.66</v>
      </c>
      <c r="D122" s="27">
        <f>F122</f>
        <v>9.9076</v>
      </c>
      <c r="E122" s="27">
        <f>F122</f>
        <v>9.9076</v>
      </c>
      <c r="F122" s="27">
        <f>ROUND(9.9076,5)</f>
        <v>9.9076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ROUND(9.685,5)</f>
        <v>9.685</v>
      </c>
      <c r="D124" s="27">
        <f>F124</f>
        <v>9.69841</v>
      </c>
      <c r="E124" s="27">
        <f>F124</f>
        <v>9.69841</v>
      </c>
      <c r="F124" s="27">
        <f>ROUND(9.69841,5)</f>
        <v>9.69841</v>
      </c>
      <c r="G124" s="24"/>
      <c r="H124" s="25"/>
    </row>
    <row r="125" spans="1:8" ht="12.75" customHeight="1">
      <c r="A125" s="23">
        <v>43223</v>
      </c>
      <c r="B125" s="23"/>
      <c r="C125" s="27">
        <f>ROUND(9.685,5)</f>
        <v>9.685</v>
      </c>
      <c r="D125" s="27">
        <f>F125</f>
        <v>9.75531</v>
      </c>
      <c r="E125" s="27">
        <f>F125</f>
        <v>9.75531</v>
      </c>
      <c r="F125" s="27">
        <f>ROUND(9.75531,5)</f>
        <v>9.75531</v>
      </c>
      <c r="G125" s="24"/>
      <c r="H125" s="25"/>
    </row>
    <row r="126" spans="1:8" ht="12.75" customHeight="1">
      <c r="A126" s="23">
        <v>43314</v>
      </c>
      <c r="B126" s="23"/>
      <c r="C126" s="27">
        <f>ROUND(9.685,5)</f>
        <v>9.685</v>
      </c>
      <c r="D126" s="27">
        <f>F126</f>
        <v>9.81442</v>
      </c>
      <c r="E126" s="27">
        <f>F126</f>
        <v>9.81442</v>
      </c>
      <c r="F126" s="27">
        <f>ROUND(9.81442,5)</f>
        <v>9.81442</v>
      </c>
      <c r="G126" s="24"/>
      <c r="H126" s="25"/>
    </row>
    <row r="127" spans="1:8" ht="12.75" customHeight="1">
      <c r="A127" s="23">
        <v>43405</v>
      </c>
      <c r="B127" s="23"/>
      <c r="C127" s="27">
        <f>ROUND(9.685,5)</f>
        <v>9.685</v>
      </c>
      <c r="D127" s="27">
        <f>F127</f>
        <v>9.864</v>
      </c>
      <c r="E127" s="27">
        <f>F127</f>
        <v>9.864</v>
      </c>
      <c r="F127" s="27">
        <f>ROUND(9.864,5)</f>
        <v>9.864</v>
      </c>
      <c r="G127" s="24"/>
      <c r="H127" s="25"/>
    </row>
    <row r="128" spans="1:8" ht="12.75" customHeight="1">
      <c r="A128" s="23">
        <v>43503</v>
      </c>
      <c r="B128" s="23"/>
      <c r="C128" s="27">
        <f>ROUND(9.685,5)</f>
        <v>9.685</v>
      </c>
      <c r="D128" s="27">
        <f>F128</f>
        <v>9.92369</v>
      </c>
      <c r="E128" s="27">
        <f>F128</f>
        <v>9.92369</v>
      </c>
      <c r="F128" s="27">
        <f>ROUND(9.92369,5)</f>
        <v>9.92369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ROUND(123.88493,5)</f>
        <v>123.88493</v>
      </c>
      <c r="D130" s="27">
        <f>F130</f>
        <v>124.40509</v>
      </c>
      <c r="E130" s="27">
        <f>F130</f>
        <v>124.40509</v>
      </c>
      <c r="F130" s="27">
        <f>ROUND(124.40509,5)</f>
        <v>124.40509</v>
      </c>
      <c r="G130" s="24"/>
      <c r="H130" s="25"/>
    </row>
    <row r="131" spans="1:8" ht="12.75" customHeight="1">
      <c r="A131" s="23">
        <v>43223</v>
      </c>
      <c r="B131" s="23"/>
      <c r="C131" s="27">
        <f>ROUND(123.88493,5)</f>
        <v>123.88493</v>
      </c>
      <c r="D131" s="27">
        <f>F131</f>
        <v>125.13776</v>
      </c>
      <c r="E131" s="27">
        <f>F131</f>
        <v>125.13776</v>
      </c>
      <c r="F131" s="27">
        <f>ROUND(125.13776,5)</f>
        <v>125.13776</v>
      </c>
      <c r="G131" s="24"/>
      <c r="H131" s="25"/>
    </row>
    <row r="132" spans="1:8" ht="12.75" customHeight="1">
      <c r="A132" s="23">
        <v>43314</v>
      </c>
      <c r="B132" s="23"/>
      <c r="C132" s="27">
        <f>ROUND(123.88493,5)</f>
        <v>123.88493</v>
      </c>
      <c r="D132" s="27">
        <f>F132</f>
        <v>127.49997</v>
      </c>
      <c r="E132" s="27">
        <f>F132</f>
        <v>127.49997</v>
      </c>
      <c r="F132" s="27">
        <f>ROUND(127.49997,5)</f>
        <v>127.49997</v>
      </c>
      <c r="G132" s="24"/>
      <c r="H132" s="25"/>
    </row>
    <row r="133" spans="1:8" ht="12.75" customHeight="1">
      <c r="A133" s="23">
        <v>43405</v>
      </c>
      <c r="B133" s="23"/>
      <c r="C133" s="27">
        <f>ROUND(123.88493,5)</f>
        <v>123.88493</v>
      </c>
      <c r="D133" s="27">
        <f>F133</f>
        <v>130.00144</v>
      </c>
      <c r="E133" s="27">
        <f>F133</f>
        <v>130.00144</v>
      </c>
      <c r="F133" s="27">
        <f>ROUND(130.00144,5)</f>
        <v>130.00144</v>
      </c>
      <c r="G133" s="24"/>
      <c r="H133" s="25"/>
    </row>
    <row r="134" spans="1:8" ht="12.75" customHeight="1">
      <c r="A134" s="23">
        <v>43503</v>
      </c>
      <c r="B134" s="23"/>
      <c r="C134" s="27">
        <f>ROUND(123.88493,5)</f>
        <v>123.88493</v>
      </c>
      <c r="D134" s="27">
        <f>F134</f>
        <v>132.6828</v>
      </c>
      <c r="E134" s="27">
        <f>F134</f>
        <v>132.6828</v>
      </c>
      <c r="F134" s="27">
        <f>ROUND(132.6828,5)</f>
        <v>132.6828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ROUND(2.58,5)</f>
        <v>2.58</v>
      </c>
      <c r="D136" s="27">
        <f>F136</f>
        <v>132.11163</v>
      </c>
      <c r="E136" s="27">
        <f>F136</f>
        <v>132.11163</v>
      </c>
      <c r="F136" s="27">
        <f>ROUND(132.11163,5)</f>
        <v>132.11163</v>
      </c>
      <c r="G136" s="24"/>
      <c r="H136" s="25"/>
    </row>
    <row r="137" spans="1:8" ht="12.75" customHeight="1">
      <c r="A137" s="23">
        <v>43223</v>
      </c>
      <c r="B137" s="23"/>
      <c r="C137" s="27">
        <f>ROUND(2.58,5)</f>
        <v>2.58</v>
      </c>
      <c r="D137" s="27">
        <f>F137</f>
        <v>134.58875</v>
      </c>
      <c r="E137" s="27">
        <f>F137</f>
        <v>134.58875</v>
      </c>
      <c r="F137" s="27">
        <f>ROUND(134.58875,5)</f>
        <v>134.58875</v>
      </c>
      <c r="G137" s="24"/>
      <c r="H137" s="25"/>
    </row>
    <row r="138" spans="1:8" ht="12.75" customHeight="1">
      <c r="A138" s="23">
        <v>43314</v>
      </c>
      <c r="B138" s="23"/>
      <c r="C138" s="27">
        <f>ROUND(2.58,5)</f>
        <v>2.58</v>
      </c>
      <c r="D138" s="27">
        <f>F138</f>
        <v>135.39619</v>
      </c>
      <c r="E138" s="27">
        <f>F138</f>
        <v>135.39619</v>
      </c>
      <c r="F138" s="27">
        <f>ROUND(135.39619,5)</f>
        <v>135.39619</v>
      </c>
      <c r="G138" s="24"/>
      <c r="H138" s="25"/>
    </row>
    <row r="139" spans="1:8" ht="12.75" customHeight="1">
      <c r="A139" s="23">
        <v>43405</v>
      </c>
      <c r="B139" s="23"/>
      <c r="C139" s="27">
        <f>ROUND(2.58,5)</f>
        <v>2.58</v>
      </c>
      <c r="D139" s="27">
        <f>F139</f>
        <v>138.05272</v>
      </c>
      <c r="E139" s="27">
        <f>F139</f>
        <v>138.05272</v>
      </c>
      <c r="F139" s="27">
        <f>ROUND(138.05272,5)</f>
        <v>138.05272</v>
      </c>
      <c r="G139" s="24"/>
      <c r="H139" s="25"/>
    </row>
    <row r="140" spans="1:8" ht="12.75" customHeight="1">
      <c r="A140" s="23">
        <v>43503</v>
      </c>
      <c r="B140" s="23"/>
      <c r="C140" s="27">
        <f>ROUND(2.58,5)</f>
        <v>2.58</v>
      </c>
      <c r="D140" s="27">
        <f>F140</f>
        <v>140.89985</v>
      </c>
      <c r="E140" s="27">
        <f>F140</f>
        <v>140.89985</v>
      </c>
      <c r="F140" s="27">
        <f>ROUND(140.89985,5)</f>
        <v>140.89985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ROUND(3.24,5)</f>
        <v>3.24</v>
      </c>
      <c r="D142" s="27">
        <f>F142</f>
        <v>129.23982</v>
      </c>
      <c r="E142" s="27">
        <f>F142</f>
        <v>129.23982</v>
      </c>
      <c r="F142" s="27">
        <f>ROUND(129.23982,5)</f>
        <v>129.23982</v>
      </c>
      <c r="G142" s="24"/>
      <c r="H142" s="25"/>
    </row>
    <row r="143" spans="1:8" ht="12.75" customHeight="1">
      <c r="A143" s="23">
        <v>43223</v>
      </c>
      <c r="B143" s="23"/>
      <c r="C143" s="27">
        <f>ROUND(3.24,5)</f>
        <v>3.24</v>
      </c>
      <c r="D143" s="27">
        <f>F143</f>
        <v>129.9034</v>
      </c>
      <c r="E143" s="27">
        <f>F143</f>
        <v>129.9034</v>
      </c>
      <c r="F143" s="27">
        <f>ROUND(129.9034,5)</f>
        <v>129.9034</v>
      </c>
      <c r="G143" s="24"/>
      <c r="H143" s="25"/>
    </row>
    <row r="144" spans="1:8" ht="12.75" customHeight="1">
      <c r="A144" s="23">
        <v>43314</v>
      </c>
      <c r="B144" s="23"/>
      <c r="C144" s="27">
        <f>ROUND(3.24,5)</f>
        <v>3.24</v>
      </c>
      <c r="D144" s="27">
        <f>F144</f>
        <v>132.35543</v>
      </c>
      <c r="E144" s="27">
        <f>F144</f>
        <v>132.35543</v>
      </c>
      <c r="F144" s="27">
        <f>ROUND(132.35543,5)</f>
        <v>132.35543</v>
      </c>
      <c r="G144" s="24"/>
      <c r="H144" s="25"/>
    </row>
    <row r="145" spans="1:8" ht="12.75" customHeight="1">
      <c r="A145" s="23">
        <v>43405</v>
      </c>
      <c r="B145" s="23"/>
      <c r="C145" s="27">
        <f>ROUND(3.24,5)</f>
        <v>3.24</v>
      </c>
      <c r="D145" s="27">
        <f>F145</f>
        <v>134.95222</v>
      </c>
      <c r="E145" s="27">
        <f>F145</f>
        <v>134.95222</v>
      </c>
      <c r="F145" s="27">
        <f>ROUND(134.95222,5)</f>
        <v>134.95222</v>
      </c>
      <c r="G145" s="24"/>
      <c r="H145" s="25"/>
    </row>
    <row r="146" spans="1:8" ht="12.75" customHeight="1">
      <c r="A146" s="23">
        <v>43503</v>
      </c>
      <c r="B146" s="23"/>
      <c r="C146" s="27">
        <f>ROUND(3.24,5)</f>
        <v>3.24</v>
      </c>
      <c r="D146" s="27">
        <f>F146</f>
        <v>137.73557</v>
      </c>
      <c r="E146" s="27">
        <f>F146</f>
        <v>137.73557</v>
      </c>
      <c r="F146" s="27">
        <f>ROUND(137.73557,5)</f>
        <v>137.73557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ROUND(10.69,5)</f>
        <v>10.69</v>
      </c>
      <c r="D148" s="27">
        <f>F148</f>
        <v>10.71392</v>
      </c>
      <c r="E148" s="27">
        <f>F148</f>
        <v>10.71392</v>
      </c>
      <c r="F148" s="27">
        <f>ROUND(10.71392,5)</f>
        <v>10.71392</v>
      </c>
      <c r="G148" s="24"/>
      <c r="H148" s="25"/>
    </row>
    <row r="149" spans="1:8" ht="12.75" customHeight="1">
      <c r="A149" s="23">
        <v>43223</v>
      </c>
      <c r="B149" s="23"/>
      <c r="C149" s="27">
        <f>ROUND(10.69,5)</f>
        <v>10.69</v>
      </c>
      <c r="D149" s="27">
        <f>F149</f>
        <v>10.81049</v>
      </c>
      <c r="E149" s="27">
        <f>F149</f>
        <v>10.81049</v>
      </c>
      <c r="F149" s="27">
        <f>ROUND(10.81049,5)</f>
        <v>10.81049</v>
      </c>
      <c r="G149" s="24"/>
      <c r="H149" s="25"/>
    </row>
    <row r="150" spans="1:8" ht="12.75" customHeight="1">
      <c r="A150" s="23">
        <v>43314</v>
      </c>
      <c r="B150" s="23"/>
      <c r="C150" s="27">
        <f>ROUND(10.69,5)</f>
        <v>10.69</v>
      </c>
      <c r="D150" s="27">
        <f>F150</f>
        <v>10.90847</v>
      </c>
      <c r="E150" s="27">
        <f>F150</f>
        <v>10.90847</v>
      </c>
      <c r="F150" s="27">
        <f>ROUND(10.90847,5)</f>
        <v>10.90847</v>
      </c>
      <c r="G150" s="24"/>
      <c r="H150" s="25"/>
    </row>
    <row r="151" spans="1:8" ht="12.75" customHeight="1">
      <c r="A151" s="23">
        <v>43405</v>
      </c>
      <c r="B151" s="23"/>
      <c r="C151" s="27">
        <f>ROUND(10.69,5)</f>
        <v>10.69</v>
      </c>
      <c r="D151" s="27">
        <f>F151</f>
        <v>11.00581</v>
      </c>
      <c r="E151" s="27">
        <f>F151</f>
        <v>11.00581</v>
      </c>
      <c r="F151" s="27">
        <f>ROUND(11.00581,5)</f>
        <v>11.00581</v>
      </c>
      <c r="G151" s="24"/>
      <c r="H151" s="25"/>
    </row>
    <row r="152" spans="1:8" ht="12.75" customHeight="1">
      <c r="A152" s="23">
        <v>43503</v>
      </c>
      <c r="B152" s="23"/>
      <c r="C152" s="27">
        <f>ROUND(10.69,5)</f>
        <v>10.69</v>
      </c>
      <c r="D152" s="27">
        <f>F152</f>
        <v>11.12209</v>
      </c>
      <c r="E152" s="27">
        <f>F152</f>
        <v>11.12209</v>
      </c>
      <c r="F152" s="27">
        <f>ROUND(11.12209,5)</f>
        <v>11.12209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ROUND(10.935,5)</f>
        <v>10.935</v>
      </c>
      <c r="D154" s="27">
        <f>F154</f>
        <v>10.95806</v>
      </c>
      <c r="E154" s="27">
        <f>F154</f>
        <v>10.95806</v>
      </c>
      <c r="F154" s="27">
        <f>ROUND(10.95806,5)</f>
        <v>10.95806</v>
      </c>
      <c r="G154" s="24"/>
      <c r="H154" s="25"/>
    </row>
    <row r="155" spans="1:8" ht="12.75" customHeight="1">
      <c r="A155" s="23">
        <v>43223</v>
      </c>
      <c r="B155" s="23"/>
      <c r="C155" s="27">
        <f>ROUND(10.935,5)</f>
        <v>10.935</v>
      </c>
      <c r="D155" s="27">
        <f>F155</f>
        <v>11.0562</v>
      </c>
      <c r="E155" s="27">
        <f>F155</f>
        <v>11.0562</v>
      </c>
      <c r="F155" s="27">
        <f>ROUND(11.0562,5)</f>
        <v>11.0562</v>
      </c>
      <c r="G155" s="24"/>
      <c r="H155" s="25"/>
    </row>
    <row r="156" spans="1:8" ht="12.75" customHeight="1">
      <c r="A156" s="23">
        <v>43314</v>
      </c>
      <c r="B156" s="23"/>
      <c r="C156" s="27">
        <f>ROUND(10.935,5)</f>
        <v>10.935</v>
      </c>
      <c r="D156" s="27">
        <f>F156</f>
        <v>11.15399</v>
      </c>
      <c r="E156" s="27">
        <f>F156</f>
        <v>11.15399</v>
      </c>
      <c r="F156" s="27">
        <f>ROUND(11.15399,5)</f>
        <v>11.15399</v>
      </c>
      <c r="G156" s="24"/>
      <c r="H156" s="25"/>
    </row>
    <row r="157" spans="1:8" ht="12.75" customHeight="1">
      <c r="A157" s="23">
        <v>43405</v>
      </c>
      <c r="B157" s="23"/>
      <c r="C157" s="27">
        <f>ROUND(10.935,5)</f>
        <v>10.935</v>
      </c>
      <c r="D157" s="27">
        <f>F157</f>
        <v>11.25051</v>
      </c>
      <c r="E157" s="27">
        <f>F157</f>
        <v>11.25051</v>
      </c>
      <c r="F157" s="27">
        <f>ROUND(11.25051,5)</f>
        <v>11.25051</v>
      </c>
      <c r="G157" s="24"/>
      <c r="H157" s="25"/>
    </row>
    <row r="158" spans="1:8" ht="12.75" customHeight="1">
      <c r="A158" s="23">
        <v>43503</v>
      </c>
      <c r="B158" s="23"/>
      <c r="C158" s="27">
        <f>ROUND(10.935,5)</f>
        <v>10.935</v>
      </c>
      <c r="D158" s="27">
        <f>F158</f>
        <v>11.36148</v>
      </c>
      <c r="E158" s="27">
        <f>F158</f>
        <v>11.36148</v>
      </c>
      <c r="F158" s="27">
        <f>ROUND(11.36148,5)</f>
        <v>11.36148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ROUND(7.9,5)</f>
        <v>7.9</v>
      </c>
      <c r="D160" s="27">
        <f>F160</f>
        <v>7.90784</v>
      </c>
      <c r="E160" s="27">
        <f>F160</f>
        <v>7.90784</v>
      </c>
      <c r="F160" s="27">
        <f>ROUND(7.90784,5)</f>
        <v>7.90784</v>
      </c>
      <c r="G160" s="24"/>
      <c r="H160" s="25"/>
    </row>
    <row r="161" spans="1:8" ht="12.75" customHeight="1">
      <c r="A161" s="23">
        <v>43223</v>
      </c>
      <c r="B161" s="23"/>
      <c r="C161" s="27">
        <f>ROUND(7.9,5)</f>
        <v>7.9</v>
      </c>
      <c r="D161" s="27">
        <f>F161</f>
        <v>7.92709</v>
      </c>
      <c r="E161" s="27">
        <f>F161</f>
        <v>7.92709</v>
      </c>
      <c r="F161" s="27">
        <f>ROUND(7.92709,5)</f>
        <v>7.92709</v>
      </c>
      <c r="G161" s="24"/>
      <c r="H161" s="25"/>
    </row>
    <row r="162" spans="1:8" ht="12.75" customHeight="1">
      <c r="A162" s="23">
        <v>43314</v>
      </c>
      <c r="B162" s="23"/>
      <c r="C162" s="27">
        <f>ROUND(7.9,5)</f>
        <v>7.9</v>
      </c>
      <c r="D162" s="27">
        <f>F162</f>
        <v>7.94521</v>
      </c>
      <c r="E162" s="27">
        <f>F162</f>
        <v>7.94521</v>
      </c>
      <c r="F162" s="27">
        <f>ROUND(7.94521,5)</f>
        <v>7.94521</v>
      </c>
      <c r="G162" s="24"/>
      <c r="H162" s="25"/>
    </row>
    <row r="163" spans="1:8" ht="12.75" customHeight="1">
      <c r="A163" s="23">
        <v>43405</v>
      </c>
      <c r="B163" s="23"/>
      <c r="C163" s="27">
        <f>ROUND(7.9,5)</f>
        <v>7.9</v>
      </c>
      <c r="D163" s="27">
        <f>F163</f>
        <v>7.9556</v>
      </c>
      <c r="E163" s="27">
        <f>F163</f>
        <v>7.9556</v>
      </c>
      <c r="F163" s="27">
        <f>ROUND(7.9556,5)</f>
        <v>7.9556</v>
      </c>
      <c r="G163" s="24"/>
      <c r="H163" s="25"/>
    </row>
    <row r="164" spans="1:8" ht="12.75" customHeight="1">
      <c r="A164" s="23">
        <v>43503</v>
      </c>
      <c r="B164" s="23"/>
      <c r="C164" s="27">
        <f>ROUND(7.9,5)</f>
        <v>7.9</v>
      </c>
      <c r="D164" s="27">
        <f>F164</f>
        <v>7.97905</v>
      </c>
      <c r="E164" s="27">
        <f>F164</f>
        <v>7.97905</v>
      </c>
      <c r="F164" s="27">
        <f>ROUND(7.97905,5)</f>
        <v>7.97905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ROUND(9.515,5)</f>
        <v>9.515</v>
      </c>
      <c r="D166" s="27">
        <f>F166</f>
        <v>9.52987</v>
      </c>
      <c r="E166" s="27">
        <f>F166</f>
        <v>9.52987</v>
      </c>
      <c r="F166" s="27">
        <f>ROUND(9.52987,5)</f>
        <v>9.52987</v>
      </c>
      <c r="G166" s="24"/>
      <c r="H166" s="25"/>
    </row>
    <row r="167" spans="1:8" ht="12.75" customHeight="1">
      <c r="A167" s="23">
        <v>43223</v>
      </c>
      <c r="B167" s="23"/>
      <c r="C167" s="27">
        <f>ROUND(9.515,5)</f>
        <v>9.515</v>
      </c>
      <c r="D167" s="27">
        <f>F167</f>
        <v>9.58618</v>
      </c>
      <c r="E167" s="27">
        <f>F167</f>
        <v>9.58618</v>
      </c>
      <c r="F167" s="27">
        <f>ROUND(9.58618,5)</f>
        <v>9.58618</v>
      </c>
      <c r="G167" s="24"/>
      <c r="H167" s="25"/>
    </row>
    <row r="168" spans="1:8" ht="12.75" customHeight="1">
      <c r="A168" s="23">
        <v>43314</v>
      </c>
      <c r="B168" s="23"/>
      <c r="C168" s="27">
        <f>ROUND(9.515,5)</f>
        <v>9.515</v>
      </c>
      <c r="D168" s="27">
        <f>F168</f>
        <v>9.64352</v>
      </c>
      <c r="E168" s="27">
        <f>F168</f>
        <v>9.64352</v>
      </c>
      <c r="F168" s="27">
        <f>ROUND(9.64352,5)</f>
        <v>9.64352</v>
      </c>
      <c r="G168" s="24"/>
      <c r="H168" s="25"/>
    </row>
    <row r="169" spans="1:8" ht="12.75" customHeight="1">
      <c r="A169" s="23">
        <v>43405</v>
      </c>
      <c r="B169" s="23"/>
      <c r="C169" s="27">
        <f>ROUND(9.515,5)</f>
        <v>9.515</v>
      </c>
      <c r="D169" s="27">
        <f>F169</f>
        <v>9.69879</v>
      </c>
      <c r="E169" s="27">
        <f>F169</f>
        <v>9.69879</v>
      </c>
      <c r="F169" s="27">
        <f>ROUND(9.69879,5)</f>
        <v>9.69879</v>
      </c>
      <c r="G169" s="24"/>
      <c r="H169" s="25"/>
    </row>
    <row r="170" spans="1:8" ht="12.75" customHeight="1">
      <c r="A170" s="23">
        <v>43503</v>
      </c>
      <c r="B170" s="23"/>
      <c r="C170" s="27">
        <f>ROUND(9.515,5)</f>
        <v>9.515</v>
      </c>
      <c r="D170" s="27">
        <f>F170</f>
        <v>9.76626</v>
      </c>
      <c r="E170" s="27">
        <f>F170</f>
        <v>9.76626</v>
      </c>
      <c r="F170" s="27">
        <f>ROUND(9.76626,5)</f>
        <v>9.76626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ROUND(8.6,5)</f>
        <v>8.6</v>
      </c>
      <c r="D172" s="27">
        <f>F172</f>
        <v>8.61159</v>
      </c>
      <c r="E172" s="27">
        <f>F172</f>
        <v>8.61159</v>
      </c>
      <c r="F172" s="27">
        <f>ROUND(8.61159,5)</f>
        <v>8.61159</v>
      </c>
      <c r="G172" s="24"/>
      <c r="H172" s="25"/>
    </row>
    <row r="173" spans="1:8" ht="12.75" customHeight="1">
      <c r="A173" s="23">
        <v>43223</v>
      </c>
      <c r="B173" s="23"/>
      <c r="C173" s="27">
        <f>ROUND(8.6,5)</f>
        <v>8.6</v>
      </c>
      <c r="D173" s="27">
        <f>F173</f>
        <v>8.6575</v>
      </c>
      <c r="E173" s="27">
        <f>F173</f>
        <v>8.6575</v>
      </c>
      <c r="F173" s="27">
        <f>ROUND(8.6575,5)</f>
        <v>8.6575</v>
      </c>
      <c r="G173" s="24"/>
      <c r="H173" s="25"/>
    </row>
    <row r="174" spans="1:8" ht="12.75" customHeight="1">
      <c r="A174" s="23">
        <v>43314</v>
      </c>
      <c r="B174" s="23"/>
      <c r="C174" s="27">
        <f>ROUND(8.6,5)</f>
        <v>8.6</v>
      </c>
      <c r="D174" s="27">
        <f>F174</f>
        <v>8.70449</v>
      </c>
      <c r="E174" s="27">
        <f>F174</f>
        <v>8.70449</v>
      </c>
      <c r="F174" s="27">
        <f>ROUND(8.70449,5)</f>
        <v>8.70449</v>
      </c>
      <c r="G174" s="24"/>
      <c r="H174" s="25"/>
    </row>
    <row r="175" spans="1:8" ht="12.75" customHeight="1">
      <c r="A175" s="23">
        <v>43405</v>
      </c>
      <c r="B175" s="23"/>
      <c r="C175" s="27">
        <f>ROUND(8.6,5)</f>
        <v>8.6</v>
      </c>
      <c r="D175" s="27">
        <f>F175</f>
        <v>8.74276</v>
      </c>
      <c r="E175" s="27">
        <f>F175</f>
        <v>8.74276</v>
      </c>
      <c r="F175" s="27">
        <f>ROUND(8.74276,5)</f>
        <v>8.74276</v>
      </c>
      <c r="G175" s="24"/>
      <c r="H175" s="25"/>
    </row>
    <row r="176" spans="1:8" ht="12.75" customHeight="1">
      <c r="A176" s="23">
        <v>43503</v>
      </c>
      <c r="B176" s="23"/>
      <c r="C176" s="27">
        <f>ROUND(8.6,5)</f>
        <v>8.6</v>
      </c>
      <c r="D176" s="27">
        <f>F176</f>
        <v>8.79326</v>
      </c>
      <c r="E176" s="27">
        <f>F176</f>
        <v>8.79326</v>
      </c>
      <c r="F176" s="27">
        <f>ROUND(8.79326,5)</f>
        <v>8.79326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ROUND(2.36,5)</f>
        <v>2.36</v>
      </c>
      <c r="D178" s="27">
        <f>F178</f>
        <v>298.58491</v>
      </c>
      <c r="E178" s="27">
        <f>F178</f>
        <v>298.58491</v>
      </c>
      <c r="F178" s="27">
        <f>ROUND(298.58491,5)</f>
        <v>298.58491</v>
      </c>
      <c r="G178" s="24"/>
      <c r="H178" s="25"/>
    </row>
    <row r="179" spans="1:8" ht="12.75" customHeight="1">
      <c r="A179" s="23">
        <v>43223</v>
      </c>
      <c r="B179" s="23"/>
      <c r="C179" s="27">
        <f>ROUND(2.36,5)</f>
        <v>2.36</v>
      </c>
      <c r="D179" s="27">
        <f>F179</f>
        <v>304.183</v>
      </c>
      <c r="E179" s="27">
        <f>F179</f>
        <v>304.183</v>
      </c>
      <c r="F179" s="27">
        <f>ROUND(304.183,5)</f>
        <v>304.183</v>
      </c>
      <c r="G179" s="24"/>
      <c r="H179" s="25"/>
    </row>
    <row r="180" spans="1:8" ht="12.75" customHeight="1">
      <c r="A180" s="23">
        <v>43314</v>
      </c>
      <c r="B180" s="23"/>
      <c r="C180" s="27">
        <f>ROUND(2.36,5)</f>
        <v>2.36</v>
      </c>
      <c r="D180" s="27">
        <f>F180</f>
        <v>302.72611</v>
      </c>
      <c r="E180" s="27">
        <f>F180</f>
        <v>302.72611</v>
      </c>
      <c r="F180" s="27">
        <f>ROUND(302.72611,5)</f>
        <v>302.72611</v>
      </c>
      <c r="G180" s="24"/>
      <c r="H180" s="25"/>
    </row>
    <row r="181" spans="1:8" ht="12.75" customHeight="1">
      <c r="A181" s="23">
        <v>43405</v>
      </c>
      <c r="B181" s="23"/>
      <c r="C181" s="27">
        <f>ROUND(2.36,5)</f>
        <v>2.36</v>
      </c>
      <c r="D181" s="27">
        <f>F181</f>
        <v>308.66606</v>
      </c>
      <c r="E181" s="27">
        <f>F181</f>
        <v>308.66606</v>
      </c>
      <c r="F181" s="27">
        <f>ROUND(308.66606,5)</f>
        <v>308.66606</v>
      </c>
      <c r="G181" s="24"/>
      <c r="H181" s="25"/>
    </row>
    <row r="182" spans="1:8" ht="12.75" customHeight="1">
      <c r="A182" s="23">
        <v>43503</v>
      </c>
      <c r="B182" s="23"/>
      <c r="C182" s="27">
        <f>ROUND(2.36,5)</f>
        <v>2.36</v>
      </c>
      <c r="D182" s="27">
        <f>F182</f>
        <v>315.03113</v>
      </c>
      <c r="E182" s="27">
        <f>F182</f>
        <v>315.03113</v>
      </c>
      <c r="F182" s="27">
        <f>ROUND(315.03113,5)</f>
        <v>315.03113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ROUND(2.58,5)</f>
        <v>2.58</v>
      </c>
      <c r="D184" s="27">
        <f>F184</f>
        <v>239.7037</v>
      </c>
      <c r="E184" s="27">
        <f>F184</f>
        <v>239.7037</v>
      </c>
      <c r="F184" s="27">
        <f>ROUND(239.7037,5)</f>
        <v>239.7037</v>
      </c>
      <c r="G184" s="24"/>
      <c r="H184" s="25"/>
    </row>
    <row r="185" spans="1:8" ht="12.75" customHeight="1">
      <c r="A185" s="23">
        <v>43223</v>
      </c>
      <c r="B185" s="23"/>
      <c r="C185" s="27">
        <f>ROUND(2.58,5)</f>
        <v>2.58</v>
      </c>
      <c r="D185" s="27">
        <f>F185</f>
        <v>244.1976</v>
      </c>
      <c r="E185" s="27">
        <f>F185</f>
        <v>244.1976</v>
      </c>
      <c r="F185" s="27">
        <f>ROUND(244.1976,5)</f>
        <v>244.1976</v>
      </c>
      <c r="G185" s="24"/>
      <c r="H185" s="25"/>
    </row>
    <row r="186" spans="1:8" ht="12.75" customHeight="1">
      <c r="A186" s="23">
        <v>43314</v>
      </c>
      <c r="B186" s="23"/>
      <c r="C186" s="27">
        <f>ROUND(2.58,5)</f>
        <v>2.58</v>
      </c>
      <c r="D186" s="27">
        <f>F186</f>
        <v>244.98377</v>
      </c>
      <c r="E186" s="27">
        <f>F186</f>
        <v>244.98377</v>
      </c>
      <c r="F186" s="27">
        <f>ROUND(244.98377,5)</f>
        <v>244.98377</v>
      </c>
      <c r="G186" s="24"/>
      <c r="H186" s="25"/>
    </row>
    <row r="187" spans="1:8" ht="12.75" customHeight="1">
      <c r="A187" s="23">
        <v>43405</v>
      </c>
      <c r="B187" s="23"/>
      <c r="C187" s="27">
        <f>ROUND(2.58,5)</f>
        <v>2.58</v>
      </c>
      <c r="D187" s="27">
        <f>F187</f>
        <v>249.79047</v>
      </c>
      <c r="E187" s="27">
        <f>F187</f>
        <v>249.79047</v>
      </c>
      <c r="F187" s="27">
        <f>ROUND(249.79047,5)</f>
        <v>249.79047</v>
      </c>
      <c r="G187" s="24"/>
      <c r="H187" s="25"/>
    </row>
    <row r="188" spans="1:8" ht="12.75" customHeight="1">
      <c r="A188" s="23">
        <v>43503</v>
      </c>
      <c r="B188" s="23"/>
      <c r="C188" s="27">
        <f>ROUND(2.58,5)</f>
        <v>2.58</v>
      </c>
      <c r="D188" s="27">
        <f>F188</f>
        <v>254.94198</v>
      </c>
      <c r="E188" s="27">
        <f>F188</f>
        <v>254.94198</v>
      </c>
      <c r="F188" s="27">
        <f>ROUND(254.94198,5)</f>
        <v>254.94198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ROUND(7.135,5)</f>
        <v>7.135</v>
      </c>
      <c r="D192" s="27">
        <f>F192</f>
        <v>7.11823</v>
      </c>
      <c r="E192" s="27">
        <f>F192</f>
        <v>7.11823</v>
      </c>
      <c r="F192" s="27">
        <f>ROUND(7.11823,5)</f>
        <v>7.11823</v>
      </c>
      <c r="G192" s="24"/>
      <c r="H192" s="25"/>
    </row>
    <row r="193" spans="1:8" ht="12.75" customHeight="1">
      <c r="A193" s="23">
        <v>43223</v>
      </c>
      <c r="B193" s="23"/>
      <c r="C193" s="27">
        <f>ROUND(7.135,5)</f>
        <v>7.135</v>
      </c>
      <c r="D193" s="27">
        <f>F193</f>
        <v>6.94128</v>
      </c>
      <c r="E193" s="27">
        <f>F193</f>
        <v>6.94128</v>
      </c>
      <c r="F193" s="27">
        <f>ROUND(6.94128,5)</f>
        <v>6.94128</v>
      </c>
      <c r="G193" s="24"/>
      <c r="H193" s="25"/>
    </row>
    <row r="194" spans="1:8" ht="12.75" customHeight="1">
      <c r="A194" s="23">
        <v>43314</v>
      </c>
      <c r="B194" s="23"/>
      <c r="C194" s="27">
        <f>ROUND(7.135,5)</f>
        <v>7.135</v>
      </c>
      <c r="D194" s="27">
        <f>F194</f>
        <v>6.45814</v>
      </c>
      <c r="E194" s="27">
        <f>F194</f>
        <v>6.45814</v>
      </c>
      <c r="F194" s="27">
        <f>ROUND(6.45814,5)</f>
        <v>6.45814</v>
      </c>
      <c r="G194" s="24"/>
      <c r="H194" s="25"/>
    </row>
    <row r="195" spans="1:8" ht="12.75" customHeight="1">
      <c r="A195" s="23">
        <v>43405</v>
      </c>
      <c r="B195" s="23"/>
      <c r="C195" s="27">
        <f>ROUND(7.135,5)</f>
        <v>7.135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ROUND(7.135,5)</f>
        <v>7.135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ROUND(7.28,5)</f>
        <v>7.28</v>
      </c>
      <c r="D198" s="27">
        <f>F198</f>
        <v>7.27806</v>
      </c>
      <c r="E198" s="27">
        <f>F198</f>
        <v>7.27806</v>
      </c>
      <c r="F198" s="27">
        <f>ROUND(7.27806,5)</f>
        <v>7.27806</v>
      </c>
      <c r="G198" s="24"/>
      <c r="H198" s="25"/>
    </row>
    <row r="199" spans="1:8" ht="12.75" customHeight="1">
      <c r="A199" s="23">
        <v>43223</v>
      </c>
      <c r="B199" s="23"/>
      <c r="C199" s="27">
        <f>ROUND(7.28,5)</f>
        <v>7.28</v>
      </c>
      <c r="D199" s="27">
        <f>F199</f>
        <v>7.24249</v>
      </c>
      <c r="E199" s="27">
        <f>F199</f>
        <v>7.24249</v>
      </c>
      <c r="F199" s="27">
        <f>ROUND(7.24249,5)</f>
        <v>7.24249</v>
      </c>
      <c r="G199" s="24"/>
      <c r="H199" s="25"/>
    </row>
    <row r="200" spans="1:8" ht="12.75" customHeight="1">
      <c r="A200" s="23">
        <v>43314</v>
      </c>
      <c r="B200" s="23"/>
      <c r="C200" s="27">
        <f>ROUND(7.28,5)</f>
        <v>7.28</v>
      </c>
      <c r="D200" s="27">
        <f>F200</f>
        <v>7.18501</v>
      </c>
      <c r="E200" s="27">
        <f>F200</f>
        <v>7.18501</v>
      </c>
      <c r="F200" s="27">
        <f>ROUND(7.18501,5)</f>
        <v>7.18501</v>
      </c>
      <c r="G200" s="24"/>
      <c r="H200" s="25"/>
    </row>
    <row r="201" spans="1:8" ht="12.75" customHeight="1">
      <c r="A201" s="23">
        <v>43405</v>
      </c>
      <c r="B201" s="23"/>
      <c r="C201" s="27">
        <f>ROUND(7.28,5)</f>
        <v>7.28</v>
      </c>
      <c r="D201" s="27">
        <f>F201</f>
        <v>7.03223</v>
      </c>
      <c r="E201" s="27">
        <f>F201</f>
        <v>7.03223</v>
      </c>
      <c r="F201" s="27">
        <f>ROUND(7.03223,5)</f>
        <v>7.03223</v>
      </c>
      <c r="G201" s="24"/>
      <c r="H201" s="25"/>
    </row>
    <row r="202" spans="1:8" ht="12.75" customHeight="1">
      <c r="A202" s="23">
        <v>43503</v>
      </c>
      <c r="B202" s="23"/>
      <c r="C202" s="27">
        <f>ROUND(7.28,5)</f>
        <v>7.28</v>
      </c>
      <c r="D202" s="27">
        <f>F202</f>
        <v>6.8145</v>
      </c>
      <c r="E202" s="27">
        <f>F202</f>
        <v>6.8145</v>
      </c>
      <c r="F202" s="27">
        <f>ROUND(6.8145,5)</f>
        <v>6.8145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ROUND(7.56,5)</f>
        <v>7.56</v>
      </c>
      <c r="D204" s="27">
        <f>F204</f>
        <v>7.56363</v>
      </c>
      <c r="E204" s="27">
        <f>F204</f>
        <v>7.56363</v>
      </c>
      <c r="F204" s="27">
        <f>ROUND(7.56363,5)</f>
        <v>7.56363</v>
      </c>
      <c r="G204" s="24"/>
      <c r="H204" s="25"/>
    </row>
    <row r="205" spans="1:8" ht="12.75" customHeight="1">
      <c r="A205" s="23">
        <v>43223</v>
      </c>
      <c r="B205" s="23"/>
      <c r="C205" s="27">
        <f>ROUND(7.56,5)</f>
        <v>7.56</v>
      </c>
      <c r="D205" s="27">
        <f>F205</f>
        <v>7.56383</v>
      </c>
      <c r="E205" s="27">
        <f>F205</f>
        <v>7.56383</v>
      </c>
      <c r="F205" s="27">
        <f>ROUND(7.56383,5)</f>
        <v>7.56383</v>
      </c>
      <c r="G205" s="24"/>
      <c r="H205" s="25"/>
    </row>
    <row r="206" spans="1:8" ht="12.75" customHeight="1">
      <c r="A206" s="23">
        <v>43314</v>
      </c>
      <c r="B206" s="23"/>
      <c r="C206" s="27">
        <f>ROUND(7.56,5)</f>
        <v>7.56</v>
      </c>
      <c r="D206" s="27">
        <f>F206</f>
        <v>7.55949</v>
      </c>
      <c r="E206" s="27">
        <f>F206</f>
        <v>7.55949</v>
      </c>
      <c r="F206" s="27">
        <f>ROUND(7.55949,5)</f>
        <v>7.55949</v>
      </c>
      <c r="G206" s="24"/>
      <c r="H206" s="25"/>
    </row>
    <row r="207" spans="1:8" ht="12.75" customHeight="1">
      <c r="A207" s="23">
        <v>43405</v>
      </c>
      <c r="B207" s="23"/>
      <c r="C207" s="27">
        <f>ROUND(7.56,5)</f>
        <v>7.56</v>
      </c>
      <c r="D207" s="27">
        <f>F207</f>
        <v>7.52902</v>
      </c>
      <c r="E207" s="27">
        <f>F207</f>
        <v>7.52902</v>
      </c>
      <c r="F207" s="27">
        <f>ROUND(7.52902,5)</f>
        <v>7.52902</v>
      </c>
      <c r="G207" s="24"/>
      <c r="H207" s="25"/>
    </row>
    <row r="208" spans="1:8" ht="12.75" customHeight="1">
      <c r="A208" s="23">
        <v>43503</v>
      </c>
      <c r="B208" s="23"/>
      <c r="C208" s="27">
        <f>ROUND(7.56,5)</f>
        <v>7.56</v>
      </c>
      <c r="D208" s="27">
        <f>F208</f>
        <v>7.50543</v>
      </c>
      <c r="E208" s="27">
        <f>F208</f>
        <v>7.50543</v>
      </c>
      <c r="F208" s="27">
        <f>ROUND(7.50543,5)</f>
        <v>7.50543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ROUND(9.45,5)</f>
        <v>9.45</v>
      </c>
      <c r="D210" s="27">
        <f>F210</f>
        <v>9.46259</v>
      </c>
      <c r="E210" s="27">
        <f>F210</f>
        <v>9.46259</v>
      </c>
      <c r="F210" s="27">
        <f>ROUND(9.46259,5)</f>
        <v>9.46259</v>
      </c>
      <c r="G210" s="24"/>
      <c r="H210" s="25"/>
    </row>
    <row r="211" spans="1:8" ht="12.75" customHeight="1">
      <c r="A211" s="23">
        <v>43223</v>
      </c>
      <c r="B211" s="23"/>
      <c r="C211" s="27">
        <f>ROUND(9.45,5)</f>
        <v>9.45</v>
      </c>
      <c r="D211" s="27">
        <f>F211</f>
        <v>9.51316</v>
      </c>
      <c r="E211" s="27">
        <f>F211</f>
        <v>9.51316</v>
      </c>
      <c r="F211" s="27">
        <f>ROUND(9.51316,5)</f>
        <v>9.51316</v>
      </c>
      <c r="G211" s="24"/>
      <c r="H211" s="25"/>
    </row>
    <row r="212" spans="1:8" ht="12.75" customHeight="1">
      <c r="A212" s="23">
        <v>43314</v>
      </c>
      <c r="B212" s="23"/>
      <c r="C212" s="27">
        <f>ROUND(9.45,5)</f>
        <v>9.45</v>
      </c>
      <c r="D212" s="27">
        <f>F212</f>
        <v>9.5639</v>
      </c>
      <c r="E212" s="27">
        <f>F212</f>
        <v>9.5639</v>
      </c>
      <c r="F212" s="27">
        <f>ROUND(9.5639,5)</f>
        <v>9.5639</v>
      </c>
      <c r="G212" s="24"/>
      <c r="H212" s="25"/>
    </row>
    <row r="213" spans="1:8" ht="12.75" customHeight="1">
      <c r="A213" s="23">
        <v>43405</v>
      </c>
      <c r="B213" s="23"/>
      <c r="C213" s="27">
        <f>ROUND(9.45,5)</f>
        <v>9.45</v>
      </c>
      <c r="D213" s="27">
        <f>F213</f>
        <v>9.6107</v>
      </c>
      <c r="E213" s="27">
        <f>F213</f>
        <v>9.6107</v>
      </c>
      <c r="F213" s="27">
        <f>ROUND(9.6107,5)</f>
        <v>9.6107</v>
      </c>
      <c r="G213" s="24"/>
      <c r="H213" s="25"/>
    </row>
    <row r="214" spans="1:8" ht="12.75" customHeight="1">
      <c r="A214" s="23">
        <v>43503</v>
      </c>
      <c r="B214" s="23"/>
      <c r="C214" s="27">
        <f>ROUND(9.45,5)</f>
        <v>9.45</v>
      </c>
      <c r="D214" s="27">
        <f>F214</f>
        <v>9.66667</v>
      </c>
      <c r="E214" s="27">
        <f>F214</f>
        <v>9.66667</v>
      </c>
      <c r="F214" s="27">
        <f>ROUND(9.66667,5)</f>
        <v>9.66667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ROUND(2.52,5)</f>
        <v>2.52</v>
      </c>
      <c r="D216" s="27">
        <f>F216</f>
        <v>187.47356</v>
      </c>
      <c r="E216" s="27">
        <f>F216</f>
        <v>187.47356</v>
      </c>
      <c r="F216" s="27">
        <f>ROUND(187.47356,5)</f>
        <v>187.47356</v>
      </c>
      <c r="G216" s="24"/>
      <c r="H216" s="25"/>
    </row>
    <row r="217" spans="1:8" ht="12.75" customHeight="1">
      <c r="A217" s="23">
        <v>43223</v>
      </c>
      <c r="B217" s="23"/>
      <c r="C217" s="27">
        <f>ROUND(2.52,5)</f>
        <v>2.52</v>
      </c>
      <c r="D217" s="27">
        <f>F217</f>
        <v>188.56345</v>
      </c>
      <c r="E217" s="27">
        <f>F217</f>
        <v>188.56345</v>
      </c>
      <c r="F217" s="27">
        <f>ROUND(188.56345,5)</f>
        <v>188.56345</v>
      </c>
      <c r="G217" s="24"/>
      <c r="H217" s="25"/>
    </row>
    <row r="218" spans="1:8" ht="12.75" customHeight="1">
      <c r="A218" s="23">
        <v>43314</v>
      </c>
      <c r="B218" s="23"/>
      <c r="C218" s="27">
        <f>ROUND(2.52,5)</f>
        <v>2.52</v>
      </c>
      <c r="D218" s="27">
        <f>F218</f>
        <v>192.12291</v>
      </c>
      <c r="E218" s="27">
        <f>F218</f>
        <v>192.12291</v>
      </c>
      <c r="F218" s="27">
        <f>ROUND(192.12291,5)</f>
        <v>192.12291</v>
      </c>
      <c r="G218" s="24"/>
      <c r="H218" s="25"/>
    </row>
    <row r="219" spans="1:8" ht="12.75" customHeight="1">
      <c r="A219" s="23">
        <v>43405</v>
      </c>
      <c r="B219" s="23"/>
      <c r="C219" s="27">
        <f>ROUND(2.52,5)</f>
        <v>2.52</v>
      </c>
      <c r="D219" s="27">
        <f>F219</f>
        <v>195.89224</v>
      </c>
      <c r="E219" s="27">
        <f>F219</f>
        <v>195.89224</v>
      </c>
      <c r="F219" s="27">
        <f>ROUND(195.89224,5)</f>
        <v>195.89224</v>
      </c>
      <c r="G219" s="24"/>
      <c r="H219" s="25"/>
    </row>
    <row r="220" spans="1:8" ht="12.75" customHeight="1">
      <c r="A220" s="23">
        <v>43503</v>
      </c>
      <c r="B220" s="23"/>
      <c r="C220" s="27">
        <f>ROUND(2.52,5)</f>
        <v>2.52</v>
      </c>
      <c r="D220" s="27">
        <f>F220</f>
        <v>199.93264</v>
      </c>
      <c r="E220" s="27">
        <f>F220</f>
        <v>199.93264</v>
      </c>
      <c r="F220" s="27">
        <f>ROUND(199.93264,5)</f>
        <v>199.93264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151.23941</v>
      </c>
      <c r="E222" s="27">
        <f>F222</f>
        <v>151.23941</v>
      </c>
      <c r="F222" s="27">
        <f>ROUND(151.23941,5)</f>
        <v>151.23941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154.07496</v>
      </c>
      <c r="E223" s="27">
        <f>F223</f>
        <v>154.07496</v>
      </c>
      <c r="F223" s="27">
        <f>ROUND(154.07496,5)</f>
        <v>154.07496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156.9157</v>
      </c>
      <c r="E224" s="27">
        <f>F224</f>
        <v>156.9157</v>
      </c>
      <c r="F224" s="27">
        <f>ROUND(156.9157,5)</f>
        <v>156.9157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159.99419</v>
      </c>
      <c r="E225" s="27">
        <f>F225</f>
        <v>159.99419</v>
      </c>
      <c r="F225" s="27">
        <f>ROUND(159.99419,5)</f>
        <v>159.99419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163.29437</v>
      </c>
      <c r="E226" s="27">
        <f>F226</f>
        <v>163.29437</v>
      </c>
      <c r="F226" s="27">
        <f>ROUND(163.29437,5)</f>
        <v>163.29437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ROUND(9.215,5)</f>
        <v>9.215</v>
      </c>
      <c r="D228" s="27">
        <f>F228</f>
        <v>9.22861</v>
      </c>
      <c r="E228" s="27">
        <f>F228</f>
        <v>9.22861</v>
      </c>
      <c r="F228" s="27">
        <f>ROUND(9.22861,5)</f>
        <v>9.22861</v>
      </c>
      <c r="G228" s="24"/>
      <c r="H228" s="25"/>
    </row>
    <row r="229" spans="1:8" ht="12.75" customHeight="1">
      <c r="A229" s="23">
        <v>43223</v>
      </c>
      <c r="B229" s="23"/>
      <c r="C229" s="27">
        <f>ROUND(9.215,5)</f>
        <v>9.215</v>
      </c>
      <c r="D229" s="27">
        <f>F229</f>
        <v>9.27934</v>
      </c>
      <c r="E229" s="27">
        <f>F229</f>
        <v>9.27934</v>
      </c>
      <c r="F229" s="27">
        <f>ROUND(9.27934,5)</f>
        <v>9.27934</v>
      </c>
      <c r="G229" s="24"/>
      <c r="H229" s="25"/>
    </row>
    <row r="230" spans="1:8" ht="12.75" customHeight="1">
      <c r="A230" s="23">
        <v>43314</v>
      </c>
      <c r="B230" s="23"/>
      <c r="C230" s="27">
        <f>ROUND(9.215,5)</f>
        <v>9.215</v>
      </c>
      <c r="D230" s="27">
        <f>F230</f>
        <v>9.33098</v>
      </c>
      <c r="E230" s="27">
        <f>F230</f>
        <v>9.33098</v>
      </c>
      <c r="F230" s="27">
        <f>ROUND(9.33098,5)</f>
        <v>9.33098</v>
      </c>
      <c r="G230" s="24"/>
      <c r="H230" s="25"/>
    </row>
    <row r="231" spans="1:8" ht="12.75" customHeight="1">
      <c r="A231" s="23">
        <v>43405</v>
      </c>
      <c r="B231" s="23"/>
      <c r="C231" s="27">
        <f>ROUND(9.215,5)</f>
        <v>9.215</v>
      </c>
      <c r="D231" s="27">
        <f>F231</f>
        <v>9.38036</v>
      </c>
      <c r="E231" s="27">
        <f>F231</f>
        <v>9.38036</v>
      </c>
      <c r="F231" s="27">
        <f>ROUND(9.38036,5)</f>
        <v>9.38036</v>
      </c>
      <c r="G231" s="24"/>
      <c r="H231" s="25"/>
    </row>
    <row r="232" spans="1:8" ht="12.75" customHeight="1">
      <c r="A232" s="23">
        <v>43503</v>
      </c>
      <c r="B232" s="23"/>
      <c r="C232" s="27">
        <f>ROUND(9.215,5)</f>
        <v>9.215</v>
      </c>
      <c r="D232" s="27">
        <f>F232</f>
        <v>9.44173</v>
      </c>
      <c r="E232" s="27">
        <f>F232</f>
        <v>9.44173</v>
      </c>
      <c r="F232" s="27">
        <f>ROUND(9.44173,5)</f>
        <v>9.44173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ROUND(9.625,5)</f>
        <v>9.625</v>
      </c>
      <c r="D234" s="27">
        <f>F234</f>
        <v>9.6384</v>
      </c>
      <c r="E234" s="27">
        <f>F234</f>
        <v>9.6384</v>
      </c>
      <c r="F234" s="27">
        <f>ROUND(9.6384,5)</f>
        <v>9.6384</v>
      </c>
      <c r="G234" s="24"/>
      <c r="H234" s="25"/>
    </row>
    <row r="235" spans="1:8" ht="12.75" customHeight="1">
      <c r="A235" s="23">
        <v>43223</v>
      </c>
      <c r="B235" s="23"/>
      <c r="C235" s="27">
        <f>ROUND(9.625,5)</f>
        <v>9.625</v>
      </c>
      <c r="D235" s="27">
        <f>F235</f>
        <v>9.68925</v>
      </c>
      <c r="E235" s="27">
        <f>F235</f>
        <v>9.68925</v>
      </c>
      <c r="F235" s="27">
        <f>ROUND(9.68925,5)</f>
        <v>9.68925</v>
      </c>
      <c r="G235" s="24"/>
      <c r="H235" s="25"/>
    </row>
    <row r="236" spans="1:8" ht="12.75" customHeight="1">
      <c r="A236" s="23">
        <v>43314</v>
      </c>
      <c r="B236" s="23"/>
      <c r="C236" s="27">
        <f>ROUND(9.625,5)</f>
        <v>9.625</v>
      </c>
      <c r="D236" s="27">
        <f>F236</f>
        <v>9.74074</v>
      </c>
      <c r="E236" s="27">
        <f>F236</f>
        <v>9.74074</v>
      </c>
      <c r="F236" s="27">
        <f>ROUND(9.74074,5)</f>
        <v>9.74074</v>
      </c>
      <c r="G236" s="24"/>
      <c r="H236" s="25"/>
    </row>
    <row r="237" spans="1:8" ht="12.75" customHeight="1">
      <c r="A237" s="23">
        <v>43405</v>
      </c>
      <c r="B237" s="23"/>
      <c r="C237" s="27">
        <f>ROUND(9.625,5)</f>
        <v>9.625</v>
      </c>
      <c r="D237" s="27">
        <f>F237</f>
        <v>9.7902</v>
      </c>
      <c r="E237" s="27">
        <f>F237</f>
        <v>9.7902</v>
      </c>
      <c r="F237" s="27">
        <f>ROUND(9.7902,5)</f>
        <v>9.7902</v>
      </c>
      <c r="G237" s="24"/>
      <c r="H237" s="25"/>
    </row>
    <row r="238" spans="1:8" ht="12.75" customHeight="1">
      <c r="A238" s="23">
        <v>43503</v>
      </c>
      <c r="B238" s="23"/>
      <c r="C238" s="27">
        <f>ROUND(9.625,5)</f>
        <v>9.625</v>
      </c>
      <c r="D238" s="27">
        <f>F238</f>
        <v>9.8499</v>
      </c>
      <c r="E238" s="27">
        <f>F238</f>
        <v>9.8499</v>
      </c>
      <c r="F238" s="27">
        <f>ROUND(9.8499,5)</f>
        <v>9.8499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ROUND(9.65,5)</f>
        <v>9.65</v>
      </c>
      <c r="D240" s="27">
        <f>F240</f>
        <v>9.66357</v>
      </c>
      <c r="E240" s="27">
        <f>F240</f>
        <v>9.66357</v>
      </c>
      <c r="F240" s="27">
        <f>ROUND(9.66357,5)</f>
        <v>9.66357</v>
      </c>
      <c r="G240" s="24"/>
      <c r="H240" s="25"/>
    </row>
    <row r="241" spans="1:8" ht="12.75" customHeight="1">
      <c r="A241" s="23">
        <v>43223</v>
      </c>
      <c r="B241" s="23"/>
      <c r="C241" s="27">
        <f>ROUND(9.65,5)</f>
        <v>9.65</v>
      </c>
      <c r="D241" s="27">
        <f>F241</f>
        <v>9.71511</v>
      </c>
      <c r="E241" s="27">
        <f>F241</f>
        <v>9.71511</v>
      </c>
      <c r="F241" s="27">
        <f>ROUND(9.71511,5)</f>
        <v>9.71511</v>
      </c>
      <c r="G241" s="24"/>
      <c r="H241" s="25"/>
    </row>
    <row r="242" spans="1:8" ht="12.75" customHeight="1">
      <c r="A242" s="23">
        <v>43314</v>
      </c>
      <c r="B242" s="23"/>
      <c r="C242" s="27">
        <f>ROUND(9.65,5)</f>
        <v>9.65</v>
      </c>
      <c r="D242" s="27">
        <f>F242</f>
        <v>9.76731</v>
      </c>
      <c r="E242" s="27">
        <f>F242</f>
        <v>9.76731</v>
      </c>
      <c r="F242" s="27">
        <f>ROUND(9.76731,5)</f>
        <v>9.76731</v>
      </c>
      <c r="G242" s="24"/>
      <c r="H242" s="25"/>
    </row>
    <row r="243" spans="1:8" ht="12.75" customHeight="1">
      <c r="A243" s="23">
        <v>43405</v>
      </c>
      <c r="B243" s="23"/>
      <c r="C243" s="27">
        <f>ROUND(9.65,5)</f>
        <v>9.65</v>
      </c>
      <c r="D243" s="27">
        <f>F243</f>
        <v>9.81745</v>
      </c>
      <c r="E243" s="27">
        <f>F243</f>
        <v>9.81745</v>
      </c>
      <c r="F243" s="27">
        <f>ROUND(9.81745,5)</f>
        <v>9.81745</v>
      </c>
      <c r="G243" s="24"/>
      <c r="H243" s="25"/>
    </row>
    <row r="244" spans="1:8" ht="12.75" customHeight="1">
      <c r="A244" s="23">
        <v>43503</v>
      </c>
      <c r="B244" s="23"/>
      <c r="C244" s="27">
        <f>ROUND(9.65,5)</f>
        <v>9.65</v>
      </c>
      <c r="D244" s="27">
        <f>F244</f>
        <v>9.87795</v>
      </c>
      <c r="E244" s="27">
        <f>F244</f>
        <v>9.87795</v>
      </c>
      <c r="F244" s="27">
        <f>ROUND(9.87795,5)</f>
        <v>9.87795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43115</v>
      </c>
      <c r="B246" s="23"/>
      <c r="C246" s="26">
        <f>ROUND(9.80496991875,4)</f>
        <v>9.805</v>
      </c>
      <c r="D246" s="26">
        <f>F246</f>
        <v>9.8107</v>
      </c>
      <c r="E246" s="26">
        <f>F246</f>
        <v>9.8107</v>
      </c>
      <c r="F246" s="26">
        <f>ROUND(9.8107,4)</f>
        <v>9.8107</v>
      </c>
      <c r="G246" s="24"/>
      <c r="H246" s="25"/>
    </row>
    <row r="247" spans="1:8" ht="12.75" customHeight="1">
      <c r="A247" s="23">
        <v>43159</v>
      </c>
      <c r="B247" s="23"/>
      <c r="C247" s="26">
        <f>ROUND(9.80496991875,4)</f>
        <v>9.805</v>
      </c>
      <c r="D247" s="26">
        <f>F247</f>
        <v>9.8672</v>
      </c>
      <c r="E247" s="26">
        <f>F247</f>
        <v>9.8672</v>
      </c>
      <c r="F247" s="26">
        <f>ROUND(9.8672,4)</f>
        <v>9.8672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ROUND(14.98870343625,4)</f>
        <v>14.9887</v>
      </c>
      <c r="D249" s="26">
        <f>F249</f>
        <v>15.0228</v>
      </c>
      <c r="E249" s="26">
        <f>F249</f>
        <v>15.0228</v>
      </c>
      <c r="F249" s="26">
        <f>ROUND(15.0228,4)</f>
        <v>15.0228</v>
      </c>
      <c r="G249" s="24"/>
      <c r="H249" s="25"/>
    </row>
    <row r="250" spans="1:8" ht="12.75" customHeight="1">
      <c r="A250" s="23">
        <v>43131</v>
      </c>
      <c r="B250" s="23"/>
      <c r="C250" s="26">
        <f>ROUND(14.98870343625,4)</f>
        <v>14.9887</v>
      </c>
      <c r="D250" s="26">
        <f>F250</f>
        <v>15.0373</v>
      </c>
      <c r="E250" s="26">
        <f>F250</f>
        <v>15.0373</v>
      </c>
      <c r="F250" s="26">
        <f>ROUND(15.0373,4)</f>
        <v>15.0373</v>
      </c>
      <c r="G250" s="24"/>
      <c r="H250" s="25"/>
    </row>
    <row r="251" spans="1:8" ht="12.75" customHeight="1">
      <c r="A251" s="23">
        <v>43146</v>
      </c>
      <c r="B251" s="23"/>
      <c r="C251" s="26">
        <f>ROUND(14.98870343625,4)</f>
        <v>14.9887</v>
      </c>
      <c r="D251" s="26">
        <f>F251</f>
        <v>15.0848</v>
      </c>
      <c r="E251" s="26">
        <f>F251</f>
        <v>15.0848</v>
      </c>
      <c r="F251" s="26">
        <f>ROUND(15.0848,4)</f>
        <v>15.0848</v>
      </c>
      <c r="G251" s="24"/>
      <c r="H251" s="25"/>
    </row>
    <row r="252" spans="1:8" ht="12.75" customHeight="1">
      <c r="A252" s="23">
        <v>43159</v>
      </c>
      <c r="B252" s="23"/>
      <c r="C252" s="26">
        <f>ROUND(14.98870343625,4)</f>
        <v>14.9887</v>
      </c>
      <c r="D252" s="26">
        <f>F252</f>
        <v>15.1257</v>
      </c>
      <c r="E252" s="26">
        <f>F252</f>
        <v>15.1257</v>
      </c>
      <c r="F252" s="26">
        <f>ROUND(15.1257,4)</f>
        <v>15.1257</v>
      </c>
      <c r="G252" s="24"/>
      <c r="H252" s="25"/>
    </row>
    <row r="253" spans="1:8" ht="12.75" customHeight="1">
      <c r="A253" s="23">
        <v>43174</v>
      </c>
      <c r="B253" s="23"/>
      <c r="C253" s="26">
        <f>ROUND(14.98870343625,4)</f>
        <v>14.9887</v>
      </c>
      <c r="D253" s="26">
        <f>F253</f>
        <v>15.173</v>
      </c>
      <c r="E253" s="26">
        <f>F253</f>
        <v>15.173</v>
      </c>
      <c r="F253" s="26">
        <f>ROUND(15.173,4)</f>
        <v>15.173</v>
      </c>
      <c r="G253" s="24"/>
      <c r="H253" s="25"/>
    </row>
    <row r="254" spans="1:8" ht="12.75" customHeight="1">
      <c r="A254" s="23">
        <v>43188</v>
      </c>
      <c r="B254" s="23"/>
      <c r="C254" s="26">
        <f>ROUND(14.98870343625,4)</f>
        <v>14.9887</v>
      </c>
      <c r="D254" s="26">
        <f>F254</f>
        <v>15.2194</v>
      </c>
      <c r="E254" s="26">
        <f>F254</f>
        <v>15.2194</v>
      </c>
      <c r="F254" s="26">
        <f>ROUND(15.2194,4)</f>
        <v>15.2194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ROUND(16.8460451475,4)</f>
        <v>16.846</v>
      </c>
      <c r="D256" s="26">
        <f>F256</f>
        <v>16.894</v>
      </c>
      <c r="E256" s="26">
        <f>F256</f>
        <v>16.894</v>
      </c>
      <c r="F256" s="26">
        <f>ROUND(16.894,4)</f>
        <v>16.894</v>
      </c>
      <c r="G256" s="24"/>
      <c r="H256" s="25"/>
    </row>
    <row r="257" spans="1:8" ht="12.75" customHeight="1">
      <c r="A257" s="23">
        <v>43160</v>
      </c>
      <c r="B257" s="23"/>
      <c r="C257" s="26">
        <f>ROUND(16.8460451475,4)</f>
        <v>16.846</v>
      </c>
      <c r="D257" s="26">
        <f>F257</f>
        <v>16.9838</v>
      </c>
      <c r="E257" s="26">
        <f>F257</f>
        <v>16.9838</v>
      </c>
      <c r="F257" s="26">
        <f>ROUND(16.9838,4)</f>
        <v>16.9838</v>
      </c>
      <c r="G257" s="24"/>
      <c r="H257" s="25"/>
    </row>
    <row r="258" spans="1:8" ht="12.75" customHeight="1">
      <c r="A258" s="23">
        <v>43174</v>
      </c>
      <c r="B258" s="23"/>
      <c r="C258" s="26">
        <f>ROUND(16.8460451475,4)</f>
        <v>16.846</v>
      </c>
      <c r="D258" s="26">
        <f>F258</f>
        <v>17.0269</v>
      </c>
      <c r="E258" s="26">
        <f>F258</f>
        <v>17.0269</v>
      </c>
      <c r="F258" s="26">
        <f>ROUND(17.0269,4)</f>
        <v>17.0269</v>
      </c>
      <c r="G258" s="24"/>
      <c r="H258" s="25"/>
    </row>
    <row r="259" spans="1:8" ht="12.75" customHeight="1">
      <c r="A259" s="23" t="s">
        <v>64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43112</v>
      </c>
      <c r="B260" s="23"/>
      <c r="C260" s="26">
        <f>ROUND(12.44325,4)</f>
        <v>12.4433</v>
      </c>
      <c r="D260" s="26">
        <f>F260</f>
        <v>12.4513</v>
      </c>
      <c r="E260" s="26">
        <f>F260</f>
        <v>12.4513</v>
      </c>
      <c r="F260" s="26">
        <f>ROUND(12.4513,4)</f>
        <v>12.4513</v>
      </c>
      <c r="G260" s="24"/>
      <c r="H260" s="25"/>
    </row>
    <row r="261" spans="1:8" ht="12.75" customHeight="1">
      <c r="A261" s="23">
        <v>43115</v>
      </c>
      <c r="B261" s="23"/>
      <c r="C261" s="26">
        <f>ROUND(12.44325,4)</f>
        <v>12.4433</v>
      </c>
      <c r="D261" s="26">
        <f>F261</f>
        <v>12.4513</v>
      </c>
      <c r="E261" s="26">
        <f>F261</f>
        <v>12.4513</v>
      </c>
      <c r="F261" s="26">
        <f>ROUND(12.4513,4)</f>
        <v>12.4513</v>
      </c>
      <c r="G261" s="24"/>
      <c r="H261" s="25"/>
    </row>
    <row r="262" spans="1:8" ht="12.75" customHeight="1">
      <c r="A262" s="23">
        <v>43116</v>
      </c>
      <c r="B262" s="23"/>
      <c r="C262" s="26">
        <f>ROUND(12.44325,4)</f>
        <v>12.4433</v>
      </c>
      <c r="D262" s="26">
        <f>F262</f>
        <v>12.4513</v>
      </c>
      <c r="E262" s="26">
        <f>F262</f>
        <v>12.4513</v>
      </c>
      <c r="F262" s="26">
        <f>ROUND(12.4513,4)</f>
        <v>12.4513</v>
      </c>
      <c r="G262" s="24"/>
      <c r="H262" s="25"/>
    </row>
    <row r="263" spans="1:8" ht="12.75" customHeight="1">
      <c r="A263" s="23">
        <v>43117</v>
      </c>
      <c r="B263" s="23"/>
      <c r="C263" s="26">
        <f>ROUND(12.44325,4)</f>
        <v>12.4433</v>
      </c>
      <c r="D263" s="26">
        <f>F263</f>
        <v>12.4453</v>
      </c>
      <c r="E263" s="26">
        <f>F263</f>
        <v>12.4453</v>
      </c>
      <c r="F263" s="26">
        <f>ROUND(12.4453,4)</f>
        <v>12.4453</v>
      </c>
      <c r="G263" s="24"/>
      <c r="H263" s="25"/>
    </row>
    <row r="264" spans="1:8" ht="12.75" customHeight="1">
      <c r="A264" s="23">
        <v>43118</v>
      </c>
      <c r="B264" s="23"/>
      <c r="C264" s="26">
        <f>ROUND(12.44325,4)</f>
        <v>12.4433</v>
      </c>
      <c r="D264" s="26">
        <f>F264</f>
        <v>12.4473</v>
      </c>
      <c r="E264" s="26">
        <f>F264</f>
        <v>12.4473</v>
      </c>
      <c r="F264" s="26">
        <f>ROUND(12.4473,4)</f>
        <v>12.4473</v>
      </c>
      <c r="G264" s="24"/>
      <c r="H264" s="25"/>
    </row>
    <row r="265" spans="1:8" ht="12.75" customHeight="1">
      <c r="A265" s="23">
        <v>43119</v>
      </c>
      <c r="B265" s="23"/>
      <c r="C265" s="26">
        <f>ROUND(12.44325,4)</f>
        <v>12.4433</v>
      </c>
      <c r="D265" s="26">
        <f>F265</f>
        <v>12.4493</v>
      </c>
      <c r="E265" s="26">
        <f>F265</f>
        <v>12.4493</v>
      </c>
      <c r="F265" s="26">
        <f>ROUND(12.4493,4)</f>
        <v>12.4493</v>
      </c>
      <c r="G265" s="24"/>
      <c r="H265" s="25"/>
    </row>
    <row r="266" spans="1:8" ht="12.75" customHeight="1">
      <c r="A266" s="23">
        <v>43125</v>
      </c>
      <c r="B266" s="23"/>
      <c r="C266" s="26">
        <f>ROUND(12.44325,4)</f>
        <v>12.4433</v>
      </c>
      <c r="D266" s="26">
        <f>F266</f>
        <v>12.4612</v>
      </c>
      <c r="E266" s="26">
        <f>F266</f>
        <v>12.4612</v>
      </c>
      <c r="F266" s="26">
        <f>ROUND(12.4612,4)</f>
        <v>12.4612</v>
      </c>
      <c r="G266" s="24"/>
      <c r="H266" s="25"/>
    </row>
    <row r="267" spans="1:8" ht="12.75" customHeight="1">
      <c r="A267" s="23">
        <v>43131</v>
      </c>
      <c r="B267" s="23"/>
      <c r="C267" s="26">
        <f>ROUND(12.44325,4)</f>
        <v>12.4433</v>
      </c>
      <c r="D267" s="26">
        <f>F267</f>
        <v>12.4725</v>
      </c>
      <c r="E267" s="26">
        <f>F267</f>
        <v>12.4725</v>
      </c>
      <c r="F267" s="26">
        <f>ROUND(12.4725,4)</f>
        <v>12.4725</v>
      </c>
      <c r="G267" s="24"/>
      <c r="H267" s="25"/>
    </row>
    <row r="268" spans="1:8" ht="12.75" customHeight="1">
      <c r="A268" s="23">
        <v>43132</v>
      </c>
      <c r="B268" s="23"/>
      <c r="C268" s="26">
        <f>ROUND(12.44325,4)</f>
        <v>12.4433</v>
      </c>
      <c r="D268" s="26">
        <f>F268</f>
        <v>12.4744</v>
      </c>
      <c r="E268" s="26">
        <f>F268</f>
        <v>12.4744</v>
      </c>
      <c r="F268" s="26">
        <f>ROUND(12.4744,4)</f>
        <v>12.4744</v>
      </c>
      <c r="G268" s="24"/>
      <c r="H268" s="25"/>
    </row>
    <row r="269" spans="1:8" ht="12.75" customHeight="1">
      <c r="A269" s="23">
        <v>43133</v>
      </c>
      <c r="B269" s="23"/>
      <c r="C269" s="26">
        <f>ROUND(12.44325,4)</f>
        <v>12.4433</v>
      </c>
      <c r="D269" s="26">
        <f>F269</f>
        <v>12.4763</v>
      </c>
      <c r="E269" s="26">
        <f>F269</f>
        <v>12.4763</v>
      </c>
      <c r="F269" s="26">
        <f>ROUND(12.4763,4)</f>
        <v>12.4763</v>
      </c>
      <c r="G269" s="24"/>
      <c r="H269" s="25"/>
    </row>
    <row r="270" spans="1:8" ht="12.75" customHeight="1">
      <c r="A270" s="23">
        <v>43137</v>
      </c>
      <c r="B270" s="23"/>
      <c r="C270" s="26">
        <f>ROUND(12.44325,4)</f>
        <v>12.4433</v>
      </c>
      <c r="D270" s="26">
        <f>F270</f>
        <v>12.4838</v>
      </c>
      <c r="E270" s="26">
        <f>F270</f>
        <v>12.4838</v>
      </c>
      <c r="F270" s="26">
        <f>ROUND(12.4838,4)</f>
        <v>12.4838</v>
      </c>
      <c r="G270" s="24"/>
      <c r="H270" s="25"/>
    </row>
    <row r="271" spans="1:8" ht="12.75" customHeight="1">
      <c r="A271" s="23">
        <v>43139</v>
      </c>
      <c r="B271" s="23"/>
      <c r="C271" s="26">
        <f>ROUND(12.44325,4)</f>
        <v>12.4433</v>
      </c>
      <c r="D271" s="26">
        <f>F271</f>
        <v>12.4876</v>
      </c>
      <c r="E271" s="26">
        <f>F271</f>
        <v>12.4876</v>
      </c>
      <c r="F271" s="26">
        <f>ROUND(12.4876,4)</f>
        <v>12.4876</v>
      </c>
      <c r="G271" s="24"/>
      <c r="H271" s="25"/>
    </row>
    <row r="272" spans="1:8" ht="12.75" customHeight="1">
      <c r="A272" s="23">
        <v>43140</v>
      </c>
      <c r="B272" s="23"/>
      <c r="C272" s="26">
        <f>ROUND(12.44325,4)</f>
        <v>12.4433</v>
      </c>
      <c r="D272" s="26">
        <f>F272</f>
        <v>12.4895</v>
      </c>
      <c r="E272" s="26">
        <f>F272</f>
        <v>12.4895</v>
      </c>
      <c r="F272" s="26">
        <f>ROUND(12.4895,4)</f>
        <v>12.4895</v>
      </c>
      <c r="G272" s="24"/>
      <c r="H272" s="25"/>
    </row>
    <row r="273" spans="1:8" ht="12.75" customHeight="1">
      <c r="A273" s="23">
        <v>43143</v>
      </c>
      <c r="B273" s="23"/>
      <c r="C273" s="26">
        <f>ROUND(12.44325,4)</f>
        <v>12.4433</v>
      </c>
      <c r="D273" s="26">
        <f>F273</f>
        <v>12.4951</v>
      </c>
      <c r="E273" s="26">
        <f>F273</f>
        <v>12.4951</v>
      </c>
      <c r="F273" s="26">
        <f>ROUND(12.4951,4)</f>
        <v>12.4951</v>
      </c>
      <c r="G273" s="24"/>
      <c r="H273" s="25"/>
    </row>
    <row r="274" spans="1:8" ht="12.75" customHeight="1">
      <c r="A274" s="23">
        <v>43144</v>
      </c>
      <c r="B274" s="23"/>
      <c r="C274" s="26">
        <f>ROUND(12.44325,4)</f>
        <v>12.4433</v>
      </c>
      <c r="D274" s="26">
        <f>F274</f>
        <v>12.497</v>
      </c>
      <c r="E274" s="26">
        <f>F274</f>
        <v>12.497</v>
      </c>
      <c r="F274" s="26">
        <f>ROUND(12.497,4)</f>
        <v>12.497</v>
      </c>
      <c r="G274" s="24"/>
      <c r="H274" s="25"/>
    </row>
    <row r="275" spans="1:8" ht="12.75" customHeight="1">
      <c r="A275" s="23">
        <v>43146</v>
      </c>
      <c r="B275" s="23"/>
      <c r="C275" s="26">
        <f>ROUND(12.44325,4)</f>
        <v>12.4433</v>
      </c>
      <c r="D275" s="26">
        <f>F275</f>
        <v>12.5008</v>
      </c>
      <c r="E275" s="26">
        <f>F275</f>
        <v>12.5008</v>
      </c>
      <c r="F275" s="26">
        <f>ROUND(12.5008,4)</f>
        <v>12.5008</v>
      </c>
      <c r="G275" s="24"/>
      <c r="H275" s="25"/>
    </row>
    <row r="276" spans="1:8" ht="12.75" customHeight="1">
      <c r="A276" s="23">
        <v>43147</v>
      </c>
      <c r="B276" s="23"/>
      <c r="C276" s="26">
        <f>ROUND(12.44325,4)</f>
        <v>12.4433</v>
      </c>
      <c r="D276" s="26">
        <f>F276</f>
        <v>12.5027</v>
      </c>
      <c r="E276" s="26">
        <f>F276</f>
        <v>12.5027</v>
      </c>
      <c r="F276" s="26">
        <f>ROUND(12.5027,4)</f>
        <v>12.5027</v>
      </c>
      <c r="G276" s="24"/>
      <c r="H276" s="25"/>
    </row>
    <row r="277" spans="1:8" ht="12.75" customHeight="1">
      <c r="A277" s="23">
        <v>43159</v>
      </c>
      <c r="B277" s="23"/>
      <c r="C277" s="26">
        <f>ROUND(12.44325,4)</f>
        <v>12.4433</v>
      </c>
      <c r="D277" s="26">
        <f>F277</f>
        <v>12.5251</v>
      </c>
      <c r="E277" s="26">
        <f>F277</f>
        <v>12.5251</v>
      </c>
      <c r="F277" s="26">
        <f>ROUND(12.5251,4)</f>
        <v>12.5251</v>
      </c>
      <c r="G277" s="24"/>
      <c r="H277" s="25"/>
    </row>
    <row r="278" spans="1:8" ht="12.75" customHeight="1">
      <c r="A278" s="23">
        <v>43160</v>
      </c>
      <c r="B278" s="23"/>
      <c r="C278" s="26">
        <f>ROUND(12.44325,4)</f>
        <v>12.4433</v>
      </c>
      <c r="D278" s="26">
        <f>F278</f>
        <v>12.527</v>
      </c>
      <c r="E278" s="26">
        <f>F278</f>
        <v>12.527</v>
      </c>
      <c r="F278" s="26">
        <f>ROUND(12.527,4)</f>
        <v>12.527</v>
      </c>
      <c r="G278" s="24"/>
      <c r="H278" s="25"/>
    </row>
    <row r="279" spans="1:8" ht="12.75" customHeight="1">
      <c r="A279" s="23">
        <v>43161</v>
      </c>
      <c r="B279" s="23"/>
      <c r="C279" s="26">
        <f>ROUND(12.44325,4)</f>
        <v>12.4433</v>
      </c>
      <c r="D279" s="26">
        <f>F279</f>
        <v>12.5289</v>
      </c>
      <c r="E279" s="26">
        <f>F279</f>
        <v>12.5289</v>
      </c>
      <c r="F279" s="26">
        <f>ROUND(12.5289,4)</f>
        <v>12.5289</v>
      </c>
      <c r="G279" s="24"/>
      <c r="H279" s="25"/>
    </row>
    <row r="280" spans="1:8" ht="12.75" customHeight="1">
      <c r="A280" s="23">
        <v>43174</v>
      </c>
      <c r="B280" s="23"/>
      <c r="C280" s="26">
        <f>ROUND(12.44325,4)</f>
        <v>12.4433</v>
      </c>
      <c r="D280" s="26">
        <f>F280</f>
        <v>12.5532</v>
      </c>
      <c r="E280" s="26">
        <f>F280</f>
        <v>12.5532</v>
      </c>
      <c r="F280" s="26">
        <f>ROUND(12.5532,4)</f>
        <v>12.5532</v>
      </c>
      <c r="G280" s="24"/>
      <c r="H280" s="25"/>
    </row>
    <row r="281" spans="1:8" ht="12.75" customHeight="1">
      <c r="A281" s="23">
        <v>43188</v>
      </c>
      <c r="B281" s="23"/>
      <c r="C281" s="26">
        <f>ROUND(12.44325,4)</f>
        <v>12.4433</v>
      </c>
      <c r="D281" s="26">
        <f>F281</f>
        <v>12.5787</v>
      </c>
      <c r="E281" s="26">
        <f>F281</f>
        <v>12.5787</v>
      </c>
      <c r="F281" s="26">
        <f>ROUND(12.5787,4)</f>
        <v>12.5787</v>
      </c>
      <c r="G281" s="24"/>
      <c r="H281" s="25"/>
    </row>
    <row r="282" spans="1:8" ht="12.75" customHeight="1">
      <c r="A282" s="23">
        <v>43214</v>
      </c>
      <c r="B282" s="23"/>
      <c r="C282" s="26">
        <f>ROUND(12.44325,4)</f>
        <v>12.4433</v>
      </c>
      <c r="D282" s="26">
        <f>F282</f>
        <v>12.626</v>
      </c>
      <c r="E282" s="26">
        <f>F282</f>
        <v>12.626</v>
      </c>
      <c r="F282" s="26">
        <f>ROUND(12.626,4)</f>
        <v>12.626</v>
      </c>
      <c r="G282" s="24"/>
      <c r="H282" s="25"/>
    </row>
    <row r="283" spans="1:8" ht="12.75" customHeight="1">
      <c r="A283" s="23">
        <v>43215</v>
      </c>
      <c r="B283" s="23"/>
      <c r="C283" s="26">
        <f>ROUND(12.44325,4)</f>
        <v>12.4433</v>
      </c>
      <c r="D283" s="26">
        <f>F283</f>
        <v>12.6278</v>
      </c>
      <c r="E283" s="26">
        <f>F283</f>
        <v>12.6278</v>
      </c>
      <c r="F283" s="26">
        <f>ROUND(12.6278,4)</f>
        <v>12.6278</v>
      </c>
      <c r="G283" s="24"/>
      <c r="H283" s="25"/>
    </row>
    <row r="284" spans="1:8" ht="12.75" customHeight="1">
      <c r="A284" s="23">
        <v>43220</v>
      </c>
      <c r="B284" s="23"/>
      <c r="C284" s="26">
        <f>ROUND(12.44325,4)</f>
        <v>12.4433</v>
      </c>
      <c r="D284" s="26">
        <f>F284</f>
        <v>12.6369</v>
      </c>
      <c r="E284" s="26">
        <f>F284</f>
        <v>12.6369</v>
      </c>
      <c r="F284" s="26">
        <f>ROUND(12.6369,4)</f>
        <v>12.6369</v>
      </c>
      <c r="G284" s="24"/>
      <c r="H284" s="25"/>
    </row>
    <row r="285" spans="1:8" ht="12.75" customHeight="1">
      <c r="A285" s="23">
        <v>43229</v>
      </c>
      <c r="B285" s="23"/>
      <c r="C285" s="26">
        <f>ROUND(12.44325,4)</f>
        <v>12.4433</v>
      </c>
      <c r="D285" s="26">
        <f>F285</f>
        <v>12.6532</v>
      </c>
      <c r="E285" s="26">
        <f>F285</f>
        <v>12.6532</v>
      </c>
      <c r="F285" s="26">
        <f>ROUND(12.6532,4)</f>
        <v>12.6532</v>
      </c>
      <c r="G285" s="24"/>
      <c r="H285" s="25"/>
    </row>
    <row r="286" spans="1:8" ht="12.75" customHeight="1">
      <c r="A286" s="23">
        <v>43231</v>
      </c>
      <c r="B286" s="23"/>
      <c r="C286" s="26">
        <f>ROUND(12.44325,4)</f>
        <v>12.4433</v>
      </c>
      <c r="D286" s="26">
        <f>F286</f>
        <v>12.6568</v>
      </c>
      <c r="E286" s="26">
        <f>F286</f>
        <v>12.6568</v>
      </c>
      <c r="F286" s="26">
        <f>ROUND(12.6568,4)</f>
        <v>12.6568</v>
      </c>
      <c r="G286" s="24"/>
      <c r="H286" s="25"/>
    </row>
    <row r="287" spans="1:8" ht="12.75" customHeight="1">
      <c r="A287" s="23">
        <v>43234</v>
      </c>
      <c r="B287" s="23"/>
      <c r="C287" s="26">
        <f>ROUND(12.44325,4)</f>
        <v>12.4433</v>
      </c>
      <c r="D287" s="26">
        <f>F287</f>
        <v>12.6622</v>
      </c>
      <c r="E287" s="26">
        <f>F287</f>
        <v>12.6622</v>
      </c>
      <c r="F287" s="26">
        <f>ROUND(12.6622,4)</f>
        <v>12.6622</v>
      </c>
      <c r="G287" s="24"/>
      <c r="H287" s="25"/>
    </row>
    <row r="288" spans="1:8" ht="12.75" customHeight="1">
      <c r="A288" s="23">
        <v>43235</v>
      </c>
      <c r="B288" s="23"/>
      <c r="C288" s="26">
        <f>ROUND(12.44325,4)</f>
        <v>12.4433</v>
      </c>
      <c r="D288" s="26">
        <f>F288</f>
        <v>12.664</v>
      </c>
      <c r="E288" s="26">
        <f>F288</f>
        <v>12.664</v>
      </c>
      <c r="F288" s="26">
        <f>ROUND(12.664,4)</f>
        <v>12.664</v>
      </c>
      <c r="G288" s="24"/>
      <c r="H288" s="25"/>
    </row>
    <row r="289" spans="1:8" ht="12.75" customHeight="1">
      <c r="A289" s="23">
        <v>43251</v>
      </c>
      <c r="B289" s="23"/>
      <c r="C289" s="26">
        <f>ROUND(12.44325,4)</f>
        <v>12.4433</v>
      </c>
      <c r="D289" s="26">
        <f>F289</f>
        <v>12.693</v>
      </c>
      <c r="E289" s="26">
        <f>F289</f>
        <v>12.693</v>
      </c>
      <c r="F289" s="26">
        <f>ROUND(12.693,4)</f>
        <v>12.693</v>
      </c>
      <c r="G289" s="24"/>
      <c r="H289" s="25"/>
    </row>
    <row r="290" spans="1:8" ht="12.75" customHeight="1">
      <c r="A290" s="23">
        <v>43280</v>
      </c>
      <c r="B290" s="23"/>
      <c r="C290" s="26">
        <f>ROUND(12.44325,4)</f>
        <v>12.4433</v>
      </c>
      <c r="D290" s="26">
        <f>F290</f>
        <v>12.7456</v>
      </c>
      <c r="E290" s="26">
        <f>F290</f>
        <v>12.7456</v>
      </c>
      <c r="F290" s="26">
        <f>ROUND(12.7456,4)</f>
        <v>12.7456</v>
      </c>
      <c r="G290" s="24"/>
      <c r="H290" s="25"/>
    </row>
    <row r="291" spans="1:8" ht="12.75" customHeight="1">
      <c r="A291" s="23">
        <v>43283</v>
      </c>
      <c r="B291" s="23"/>
      <c r="C291" s="26">
        <f>ROUND(12.44325,4)</f>
        <v>12.4433</v>
      </c>
      <c r="D291" s="26">
        <f>F291</f>
        <v>12.751</v>
      </c>
      <c r="E291" s="26">
        <f>F291</f>
        <v>12.751</v>
      </c>
      <c r="F291" s="26">
        <f>ROUND(12.751,4)</f>
        <v>12.751</v>
      </c>
      <c r="G291" s="24"/>
      <c r="H291" s="25"/>
    </row>
    <row r="292" spans="1:8" ht="12.75" customHeight="1">
      <c r="A292" s="23">
        <v>43287</v>
      </c>
      <c r="B292" s="23"/>
      <c r="C292" s="26">
        <f>ROUND(12.44325,4)</f>
        <v>12.4433</v>
      </c>
      <c r="D292" s="26">
        <f>F292</f>
        <v>12.7583</v>
      </c>
      <c r="E292" s="26">
        <f>F292</f>
        <v>12.7583</v>
      </c>
      <c r="F292" s="26">
        <f>ROUND(12.7583,4)</f>
        <v>12.7583</v>
      </c>
      <c r="G292" s="24"/>
      <c r="H292" s="25"/>
    </row>
    <row r="293" spans="1:8" ht="12.75" customHeight="1">
      <c r="A293" s="23">
        <v>43301</v>
      </c>
      <c r="B293" s="23"/>
      <c r="C293" s="26">
        <f>ROUND(12.44325,4)</f>
        <v>12.4433</v>
      </c>
      <c r="D293" s="26">
        <f>F293</f>
        <v>12.7835</v>
      </c>
      <c r="E293" s="26">
        <f>F293</f>
        <v>12.7835</v>
      </c>
      <c r="F293" s="26">
        <f>ROUND(12.7835,4)</f>
        <v>12.7835</v>
      </c>
      <c r="G293" s="24"/>
      <c r="H293" s="25"/>
    </row>
    <row r="294" spans="1:8" ht="12.75" customHeight="1">
      <c r="A294" s="23">
        <v>43305</v>
      </c>
      <c r="B294" s="23"/>
      <c r="C294" s="26">
        <f>ROUND(12.44325,4)</f>
        <v>12.4433</v>
      </c>
      <c r="D294" s="26">
        <f>F294</f>
        <v>12.7905</v>
      </c>
      <c r="E294" s="26">
        <f>F294</f>
        <v>12.7905</v>
      </c>
      <c r="F294" s="26">
        <f>ROUND(12.7905,4)</f>
        <v>12.7905</v>
      </c>
      <c r="G294" s="24"/>
      <c r="H294" s="25"/>
    </row>
    <row r="295" spans="1:8" ht="12.75" customHeight="1">
      <c r="A295" s="23">
        <v>43306</v>
      </c>
      <c r="B295" s="23"/>
      <c r="C295" s="26">
        <f>ROUND(12.44325,4)</f>
        <v>12.4433</v>
      </c>
      <c r="D295" s="26">
        <f>F295</f>
        <v>12.7923</v>
      </c>
      <c r="E295" s="26">
        <f>F295</f>
        <v>12.7923</v>
      </c>
      <c r="F295" s="26">
        <f>ROUND(12.7923,4)</f>
        <v>12.7923</v>
      </c>
      <c r="G295" s="24"/>
      <c r="H295" s="25"/>
    </row>
    <row r="296" spans="1:8" ht="12.75" customHeight="1">
      <c r="A296" s="23">
        <v>43312</v>
      </c>
      <c r="B296" s="23"/>
      <c r="C296" s="26">
        <f>ROUND(12.44325,4)</f>
        <v>12.4433</v>
      </c>
      <c r="D296" s="26">
        <f>F296</f>
        <v>12.8029</v>
      </c>
      <c r="E296" s="26">
        <f>F296</f>
        <v>12.8029</v>
      </c>
      <c r="F296" s="26">
        <f>ROUND(12.8029,4)</f>
        <v>12.8029</v>
      </c>
      <c r="G296" s="24"/>
      <c r="H296" s="25"/>
    </row>
    <row r="297" spans="1:8" ht="12.75" customHeight="1">
      <c r="A297" s="23">
        <v>43319</v>
      </c>
      <c r="B297" s="23"/>
      <c r="C297" s="26">
        <f>ROUND(12.44325,4)</f>
        <v>12.4433</v>
      </c>
      <c r="D297" s="26">
        <f>F297</f>
        <v>12.8153</v>
      </c>
      <c r="E297" s="26">
        <f>F297</f>
        <v>12.8153</v>
      </c>
      <c r="F297" s="26">
        <f>ROUND(12.8153,4)</f>
        <v>12.8153</v>
      </c>
      <c r="G297" s="24"/>
      <c r="H297" s="25"/>
    </row>
    <row r="298" spans="1:8" ht="12.75" customHeight="1">
      <c r="A298" s="23">
        <v>43325</v>
      </c>
      <c r="B298" s="23"/>
      <c r="C298" s="26">
        <f>ROUND(12.44325,4)</f>
        <v>12.4433</v>
      </c>
      <c r="D298" s="26">
        <f>F298</f>
        <v>12.826</v>
      </c>
      <c r="E298" s="26">
        <f>F298</f>
        <v>12.826</v>
      </c>
      <c r="F298" s="26">
        <f>ROUND(12.826,4)</f>
        <v>12.826</v>
      </c>
      <c r="G298" s="24"/>
      <c r="H298" s="25"/>
    </row>
    <row r="299" spans="1:8" ht="12.75" customHeight="1">
      <c r="A299" s="23">
        <v>43343</v>
      </c>
      <c r="B299" s="23"/>
      <c r="C299" s="26">
        <f>ROUND(12.44325,4)</f>
        <v>12.4433</v>
      </c>
      <c r="D299" s="26">
        <f>F299</f>
        <v>12.8578</v>
      </c>
      <c r="E299" s="26">
        <f>F299</f>
        <v>12.8578</v>
      </c>
      <c r="F299" s="26">
        <f>ROUND(12.8578,4)</f>
        <v>12.8578</v>
      </c>
      <c r="G299" s="24"/>
      <c r="H299" s="25"/>
    </row>
    <row r="300" spans="1:8" ht="12.75" customHeight="1">
      <c r="A300" s="23">
        <v>43371</v>
      </c>
      <c r="B300" s="23"/>
      <c r="C300" s="26">
        <f>ROUND(12.44325,4)</f>
        <v>12.4433</v>
      </c>
      <c r="D300" s="26">
        <f>F300</f>
        <v>12.9074</v>
      </c>
      <c r="E300" s="26">
        <f>F300</f>
        <v>12.9074</v>
      </c>
      <c r="F300" s="26">
        <f>ROUND(12.9074,4)</f>
        <v>12.9074</v>
      </c>
      <c r="G300" s="24"/>
      <c r="H300" s="25"/>
    </row>
    <row r="301" spans="1:8" ht="12.75" customHeight="1">
      <c r="A301" s="23">
        <v>43398</v>
      </c>
      <c r="B301" s="23"/>
      <c r="C301" s="26">
        <f>ROUND(12.44325,4)</f>
        <v>12.4433</v>
      </c>
      <c r="D301" s="26">
        <f>F301</f>
        <v>12.9548</v>
      </c>
      <c r="E301" s="26">
        <f>F301</f>
        <v>12.9548</v>
      </c>
      <c r="F301" s="26">
        <f>ROUND(12.9548,4)</f>
        <v>12.9548</v>
      </c>
      <c r="G301" s="24"/>
      <c r="H301" s="25"/>
    </row>
    <row r="302" spans="1:8" ht="12.75" customHeight="1">
      <c r="A302" s="23">
        <v>43402</v>
      </c>
      <c r="B302" s="23"/>
      <c r="C302" s="26">
        <f>ROUND(12.44325,4)</f>
        <v>12.4433</v>
      </c>
      <c r="D302" s="26">
        <f>F302</f>
        <v>12.9617</v>
      </c>
      <c r="E302" s="26">
        <f>F302</f>
        <v>12.9617</v>
      </c>
      <c r="F302" s="26">
        <f>ROUND(12.9617,4)</f>
        <v>12.9617</v>
      </c>
      <c r="G302" s="24"/>
      <c r="H302" s="25"/>
    </row>
    <row r="303" spans="1:8" ht="12.75" customHeight="1">
      <c r="A303" s="23">
        <v>43404</v>
      </c>
      <c r="B303" s="23"/>
      <c r="C303" s="26">
        <f>ROUND(12.44325,4)</f>
        <v>12.4433</v>
      </c>
      <c r="D303" s="26">
        <f>F303</f>
        <v>12.9651</v>
      </c>
      <c r="E303" s="26">
        <f>F303</f>
        <v>12.9651</v>
      </c>
      <c r="F303" s="26">
        <f>ROUND(12.9651,4)</f>
        <v>12.9651</v>
      </c>
      <c r="G303" s="24"/>
      <c r="H303" s="25"/>
    </row>
    <row r="304" spans="1:8" ht="12.75" customHeight="1">
      <c r="A304" s="23">
        <v>43409</v>
      </c>
      <c r="B304" s="23"/>
      <c r="C304" s="26">
        <f>ROUND(12.44325,4)</f>
        <v>12.4433</v>
      </c>
      <c r="D304" s="26">
        <f>F304</f>
        <v>12.9737</v>
      </c>
      <c r="E304" s="26">
        <f>F304</f>
        <v>12.9737</v>
      </c>
      <c r="F304" s="26">
        <f>ROUND(12.9737,4)</f>
        <v>12.9737</v>
      </c>
      <c r="G304" s="24"/>
      <c r="H304" s="25"/>
    </row>
    <row r="305" spans="1:8" ht="12.75" customHeight="1">
      <c r="A305" s="23">
        <v>43417</v>
      </c>
      <c r="B305" s="23"/>
      <c r="C305" s="26">
        <f>ROUND(12.44325,4)</f>
        <v>12.4433</v>
      </c>
      <c r="D305" s="26">
        <f>F305</f>
        <v>12.9875</v>
      </c>
      <c r="E305" s="26">
        <f>F305</f>
        <v>12.9875</v>
      </c>
      <c r="F305" s="26">
        <f>ROUND(12.9875,4)</f>
        <v>12.9875</v>
      </c>
      <c r="G305" s="24"/>
      <c r="H305" s="25"/>
    </row>
    <row r="306" spans="1:8" ht="12.75" customHeight="1">
      <c r="A306" s="23">
        <v>43434</v>
      </c>
      <c r="B306" s="23"/>
      <c r="C306" s="26">
        <f>ROUND(12.44325,4)</f>
        <v>12.4433</v>
      </c>
      <c r="D306" s="26">
        <f>F306</f>
        <v>13.0167</v>
      </c>
      <c r="E306" s="26">
        <f>F306</f>
        <v>13.0167</v>
      </c>
      <c r="F306" s="26">
        <f>ROUND(13.0167,4)</f>
        <v>13.0167</v>
      </c>
      <c r="G306" s="24"/>
      <c r="H306" s="25"/>
    </row>
    <row r="307" spans="1:8" ht="12.75" customHeight="1">
      <c r="A307" s="23">
        <v>43445</v>
      </c>
      <c r="B307" s="23"/>
      <c r="C307" s="26">
        <f>ROUND(12.44325,4)</f>
        <v>12.4433</v>
      </c>
      <c r="D307" s="26">
        <f>F307</f>
        <v>13.0357</v>
      </c>
      <c r="E307" s="26">
        <f>F307</f>
        <v>13.0357</v>
      </c>
      <c r="F307" s="26">
        <f>ROUND(13.0357,4)</f>
        <v>13.0357</v>
      </c>
      <c r="G307" s="24"/>
      <c r="H307" s="25"/>
    </row>
    <row r="308" spans="1:8" ht="12.75" customHeight="1">
      <c r="A308" s="23">
        <v>43465</v>
      </c>
      <c r="B308" s="23"/>
      <c r="C308" s="26">
        <f>ROUND(12.44325,4)</f>
        <v>12.4433</v>
      </c>
      <c r="D308" s="26">
        <f>F308</f>
        <v>13.0701</v>
      </c>
      <c r="E308" s="26">
        <f>F308</f>
        <v>13.0701</v>
      </c>
      <c r="F308" s="26">
        <f>ROUND(13.0701,4)</f>
        <v>13.0701</v>
      </c>
      <c r="G308" s="24"/>
      <c r="H308" s="25"/>
    </row>
    <row r="309" spans="1:8" ht="12.75" customHeight="1">
      <c r="A309" s="23">
        <v>43509</v>
      </c>
      <c r="B309" s="23"/>
      <c r="C309" s="26">
        <f>ROUND(12.44325,4)</f>
        <v>12.4433</v>
      </c>
      <c r="D309" s="26">
        <f>F309</f>
        <v>13.1488</v>
      </c>
      <c r="E309" s="26">
        <f>F309</f>
        <v>13.1488</v>
      </c>
      <c r="F309" s="26">
        <f>ROUND(13.1488,4)</f>
        <v>13.1488</v>
      </c>
      <c r="G309" s="24"/>
      <c r="H309" s="25"/>
    </row>
    <row r="310" spans="1:8" ht="12.75" customHeight="1">
      <c r="A310" s="23">
        <v>44040</v>
      </c>
      <c r="B310" s="23"/>
      <c r="C310" s="26">
        <f>ROUND(12.44325,4)</f>
        <v>12.4433</v>
      </c>
      <c r="D310" s="26">
        <f>F310</f>
        <v>14.187</v>
      </c>
      <c r="E310" s="26">
        <f>F310</f>
        <v>14.187</v>
      </c>
      <c r="F310" s="26">
        <f>ROUND(14.187,4)</f>
        <v>14.187</v>
      </c>
      <c r="G310" s="24"/>
      <c r="H310" s="25"/>
    </row>
    <row r="311" spans="1:8" ht="12.75" customHeight="1">
      <c r="A311" s="23" t="s">
        <v>65</v>
      </c>
      <c r="B311" s="23"/>
      <c r="C311" s="28"/>
      <c r="D311" s="28"/>
      <c r="E311" s="28"/>
      <c r="F311" s="28"/>
      <c r="G311" s="24"/>
      <c r="H311" s="25"/>
    </row>
    <row r="312" spans="1:8" ht="12.75" customHeight="1">
      <c r="A312" s="23">
        <v>43178</v>
      </c>
      <c r="B312" s="23"/>
      <c r="C312" s="26">
        <f>ROUND(1.204565,4)</f>
        <v>1.2046</v>
      </c>
      <c r="D312" s="26">
        <f>F312</f>
        <v>1.209</v>
      </c>
      <c r="E312" s="26">
        <f>F312</f>
        <v>1.209</v>
      </c>
      <c r="F312" s="26">
        <f>ROUND(1.209,4)</f>
        <v>1.209</v>
      </c>
      <c r="G312" s="24"/>
      <c r="H312" s="25"/>
    </row>
    <row r="313" spans="1:8" ht="12.75" customHeight="1">
      <c r="A313" s="23">
        <v>43269</v>
      </c>
      <c r="B313" s="23"/>
      <c r="C313" s="26">
        <f>ROUND(1.204565,4)</f>
        <v>1.2046</v>
      </c>
      <c r="D313" s="26">
        <f>F313</f>
        <v>1.2165</v>
      </c>
      <c r="E313" s="26">
        <f>F313</f>
        <v>1.2165</v>
      </c>
      <c r="F313" s="26">
        <f>ROUND(1.2165,4)</f>
        <v>1.2165</v>
      </c>
      <c r="G313" s="24"/>
      <c r="H313" s="25"/>
    </row>
    <row r="314" spans="1:8" ht="12.75" customHeight="1">
      <c r="A314" s="23">
        <v>43360</v>
      </c>
      <c r="B314" s="23"/>
      <c r="C314" s="26">
        <f>ROUND(1.204565,4)</f>
        <v>1.2046</v>
      </c>
      <c r="D314" s="26">
        <f>F314</f>
        <v>1.2246</v>
      </c>
      <c r="E314" s="26">
        <f>F314</f>
        <v>1.2246</v>
      </c>
      <c r="F314" s="26">
        <f>ROUND(1.2246,4)</f>
        <v>1.2246</v>
      </c>
      <c r="G314" s="24"/>
      <c r="H314" s="25"/>
    </row>
    <row r="315" spans="1:8" ht="12.75" customHeight="1">
      <c r="A315" s="23">
        <v>43448</v>
      </c>
      <c r="B315" s="23"/>
      <c r="C315" s="26">
        <f>ROUND(1.204565,4)</f>
        <v>1.2046</v>
      </c>
      <c r="D315" s="26">
        <f>F315</f>
        <v>1.2326</v>
      </c>
      <c r="E315" s="26">
        <f>F315</f>
        <v>1.2326</v>
      </c>
      <c r="F315" s="26">
        <f>ROUND(1.2326,4)</f>
        <v>1.2326</v>
      </c>
      <c r="G315" s="24"/>
      <c r="H315" s="25"/>
    </row>
    <row r="316" spans="1:8" ht="12.75" customHeight="1">
      <c r="A316" s="23" t="s">
        <v>66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43178</v>
      </c>
      <c r="B317" s="23"/>
      <c r="C317" s="26">
        <f>ROUND(1.35383,4)</f>
        <v>1.3538</v>
      </c>
      <c r="D317" s="26">
        <f>F317</f>
        <v>1.3566</v>
      </c>
      <c r="E317" s="26">
        <f>F317</f>
        <v>1.3566</v>
      </c>
      <c r="F317" s="26">
        <f>ROUND(1.3566,4)</f>
        <v>1.3566</v>
      </c>
      <c r="G317" s="24"/>
      <c r="H317" s="25"/>
    </row>
    <row r="318" spans="1:8" ht="12.75" customHeight="1">
      <c r="A318" s="23">
        <v>43269</v>
      </c>
      <c r="B318" s="23"/>
      <c r="C318" s="26">
        <f>ROUND(1.35383,4)</f>
        <v>1.3538</v>
      </c>
      <c r="D318" s="26">
        <f>F318</f>
        <v>1.3613</v>
      </c>
      <c r="E318" s="26">
        <f>F318</f>
        <v>1.3613</v>
      </c>
      <c r="F318" s="26">
        <f>ROUND(1.3613,4)</f>
        <v>1.3613</v>
      </c>
      <c r="G318" s="24"/>
      <c r="H318" s="25"/>
    </row>
    <row r="319" spans="1:8" ht="12.75" customHeight="1">
      <c r="A319" s="23">
        <v>43360</v>
      </c>
      <c r="B319" s="23"/>
      <c r="C319" s="26">
        <f>ROUND(1.35383,4)</f>
        <v>1.3538</v>
      </c>
      <c r="D319" s="26">
        <f>F319</f>
        <v>1.3662</v>
      </c>
      <c r="E319" s="26">
        <f>F319</f>
        <v>1.3662</v>
      </c>
      <c r="F319" s="26">
        <f>ROUND(1.3662,4)</f>
        <v>1.3662</v>
      </c>
      <c r="G319" s="24"/>
      <c r="H319" s="25"/>
    </row>
    <row r="320" spans="1:8" ht="12.75" customHeight="1">
      <c r="A320" s="23">
        <v>43448</v>
      </c>
      <c r="B320" s="23"/>
      <c r="C320" s="26">
        <f>ROUND(1.35383,4)</f>
        <v>1.3538</v>
      </c>
      <c r="D320" s="26">
        <f>F320</f>
        <v>1.3711</v>
      </c>
      <c r="E320" s="26">
        <f>F320</f>
        <v>1.3711</v>
      </c>
      <c r="F320" s="26">
        <f>ROUND(1.3711,4)</f>
        <v>1.3711</v>
      </c>
      <c r="G320" s="24"/>
      <c r="H320" s="25"/>
    </row>
    <row r="321" spans="1:8" ht="12.75" customHeight="1">
      <c r="A321" s="23" t="s">
        <v>67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ROUND(9.80496991875,4)</f>
        <v>9.805</v>
      </c>
      <c r="D322" s="26">
        <f>F322</f>
        <v>9.8944</v>
      </c>
      <c r="E322" s="26">
        <f>F322</f>
        <v>9.8944</v>
      </c>
      <c r="F322" s="26">
        <f>ROUND(9.8944,4)</f>
        <v>9.8944</v>
      </c>
      <c r="G322" s="24"/>
      <c r="H322" s="25"/>
    </row>
    <row r="323" spans="1:8" ht="12.75" customHeight="1">
      <c r="A323" s="23">
        <v>43269</v>
      </c>
      <c r="B323" s="23"/>
      <c r="C323" s="26">
        <f>ROUND(9.80496991875,4)</f>
        <v>9.805</v>
      </c>
      <c r="D323" s="26">
        <f>F323</f>
        <v>10.024</v>
      </c>
      <c r="E323" s="26">
        <f>F323</f>
        <v>10.024</v>
      </c>
      <c r="F323" s="26">
        <f>ROUND(10.024,4)</f>
        <v>10.024</v>
      </c>
      <c r="G323" s="24"/>
      <c r="H323" s="25"/>
    </row>
    <row r="324" spans="1:8" ht="12.75" customHeight="1">
      <c r="A324" s="23">
        <v>43360</v>
      </c>
      <c r="B324" s="23"/>
      <c r="C324" s="26">
        <f>ROUND(9.80496991875,4)</f>
        <v>9.805</v>
      </c>
      <c r="D324" s="26">
        <f>F324</f>
        <v>10.1544</v>
      </c>
      <c r="E324" s="26">
        <f>F324</f>
        <v>10.1544</v>
      </c>
      <c r="F324" s="26">
        <f>ROUND(10.1544,4)</f>
        <v>10.1544</v>
      </c>
      <c r="G324" s="24"/>
      <c r="H324" s="25"/>
    </row>
    <row r="325" spans="1:8" ht="12.75" customHeight="1">
      <c r="A325" s="23">
        <v>43448</v>
      </c>
      <c r="B325" s="23"/>
      <c r="C325" s="26">
        <f>ROUND(9.80496991875,4)</f>
        <v>9.805</v>
      </c>
      <c r="D325" s="26">
        <f>F325</f>
        <v>10.2755</v>
      </c>
      <c r="E325" s="26">
        <f>F325</f>
        <v>10.2755</v>
      </c>
      <c r="F325" s="26">
        <f>ROUND(10.2755,4)</f>
        <v>10.2755</v>
      </c>
      <c r="G325" s="24"/>
      <c r="H325" s="25"/>
    </row>
    <row r="326" spans="1:8" ht="12.75" customHeight="1">
      <c r="A326" s="23">
        <v>43542</v>
      </c>
      <c r="B326" s="23"/>
      <c r="C326" s="26">
        <f>ROUND(9.80496991875,4)</f>
        <v>9.805</v>
      </c>
      <c r="D326" s="26">
        <f>F326</f>
        <v>10.4091</v>
      </c>
      <c r="E326" s="26">
        <f>F326</f>
        <v>10.4091</v>
      </c>
      <c r="F326" s="26">
        <f>ROUND(10.4091,4)</f>
        <v>10.4091</v>
      </c>
      <c r="G326" s="24"/>
      <c r="H326" s="25"/>
    </row>
    <row r="327" spans="1:8" ht="12.75" customHeight="1">
      <c r="A327" s="23">
        <v>43630</v>
      </c>
      <c r="B327" s="23"/>
      <c r="C327" s="26">
        <f>ROUND(9.80496991875,4)</f>
        <v>9.805</v>
      </c>
      <c r="D327" s="26">
        <f>F327</f>
        <v>10.5364</v>
      </c>
      <c r="E327" s="26">
        <f>F327</f>
        <v>10.5364</v>
      </c>
      <c r="F327" s="26">
        <f>ROUND(10.5364,4)</f>
        <v>10.5364</v>
      </c>
      <c r="G327" s="24"/>
      <c r="H327" s="25"/>
    </row>
    <row r="328" spans="1:8" ht="12.75" customHeight="1">
      <c r="A328" s="23">
        <v>43724</v>
      </c>
      <c r="B328" s="23"/>
      <c r="C328" s="26">
        <f>ROUND(9.80496991875,4)</f>
        <v>9.805</v>
      </c>
      <c r="D328" s="26">
        <f>F328</f>
        <v>10.6725</v>
      </c>
      <c r="E328" s="26">
        <f>F328</f>
        <v>10.6725</v>
      </c>
      <c r="F328" s="26">
        <f>ROUND(10.6725,4)</f>
        <v>10.6725</v>
      </c>
      <c r="G328" s="24"/>
      <c r="H328" s="25"/>
    </row>
    <row r="329" spans="1:8" ht="12.75" customHeight="1">
      <c r="A329" s="23">
        <v>43812</v>
      </c>
      <c r="B329" s="23"/>
      <c r="C329" s="26">
        <f>ROUND(9.80496991875,4)</f>
        <v>9.805</v>
      </c>
      <c r="D329" s="26">
        <f>F329</f>
        <v>10.7956</v>
      </c>
      <c r="E329" s="26">
        <f>F329</f>
        <v>10.7956</v>
      </c>
      <c r="F329" s="26">
        <f>ROUND(10.7956,4)</f>
        <v>10.7956</v>
      </c>
      <c r="G329" s="24"/>
      <c r="H329" s="25"/>
    </row>
    <row r="330" spans="1:8" ht="12.75" customHeight="1">
      <c r="A330" s="23" t="s">
        <v>68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ROUND(3.3878542840807,4)</f>
        <v>3.3879</v>
      </c>
      <c r="D331" s="26">
        <f>F331</f>
        <v>3.687</v>
      </c>
      <c r="E331" s="26">
        <f>F331</f>
        <v>3.687</v>
      </c>
      <c r="F331" s="26">
        <f>ROUND(3.687,4)</f>
        <v>3.687</v>
      </c>
      <c r="G331" s="24"/>
      <c r="H331" s="25"/>
    </row>
    <row r="332" spans="1:8" ht="12.75" customHeight="1">
      <c r="A332" s="23">
        <v>43269</v>
      </c>
      <c r="B332" s="23"/>
      <c r="C332" s="26">
        <f>ROUND(3.3878542840807,4)</f>
        <v>3.3879</v>
      </c>
      <c r="D332" s="26">
        <f>F332</f>
        <v>3.7307</v>
      </c>
      <c r="E332" s="26">
        <f>F332</f>
        <v>3.7307</v>
      </c>
      <c r="F332" s="26">
        <f>ROUND(3.7307,4)</f>
        <v>3.7307</v>
      </c>
      <c r="G332" s="24"/>
      <c r="H332" s="25"/>
    </row>
    <row r="333" spans="1:8" ht="12.75" customHeight="1">
      <c r="A333" s="23">
        <v>43360</v>
      </c>
      <c r="B333" s="23"/>
      <c r="C333" s="26">
        <f>ROUND(3.3878542840807,4)</f>
        <v>3.3879</v>
      </c>
      <c r="D333" s="26">
        <f>F333</f>
        <v>3.7832</v>
      </c>
      <c r="E333" s="26">
        <f>F333</f>
        <v>3.7832</v>
      </c>
      <c r="F333" s="26">
        <f>ROUND(3.7832,4)</f>
        <v>3.7832</v>
      </c>
      <c r="G333" s="24"/>
      <c r="H333" s="25"/>
    </row>
    <row r="334" spans="1:8" ht="12.75" customHeight="1">
      <c r="A334" s="23" t="s">
        <v>69</v>
      </c>
      <c r="B334" s="23"/>
      <c r="C334" s="28"/>
      <c r="D334" s="28"/>
      <c r="E334" s="28"/>
      <c r="F334" s="28"/>
      <c r="G334" s="24"/>
      <c r="H334" s="25"/>
    </row>
    <row r="335" spans="1:8" ht="12.75" customHeight="1">
      <c r="A335" s="23">
        <v>43178</v>
      </c>
      <c r="B335" s="23"/>
      <c r="C335" s="26">
        <f>ROUND(1.2592569,4)</f>
        <v>1.2593</v>
      </c>
      <c r="D335" s="26">
        <f>F335</f>
        <v>1.2677</v>
      </c>
      <c r="E335" s="26">
        <f>F335</f>
        <v>1.2677</v>
      </c>
      <c r="F335" s="26">
        <f>ROUND(1.2677,4)</f>
        <v>1.2677</v>
      </c>
      <c r="G335" s="24"/>
      <c r="H335" s="25"/>
    </row>
    <row r="336" spans="1:8" ht="12.75" customHeight="1">
      <c r="A336" s="23">
        <v>43269</v>
      </c>
      <c r="B336" s="23"/>
      <c r="C336" s="26">
        <f>ROUND(1.2592569,4)</f>
        <v>1.2593</v>
      </c>
      <c r="D336" s="26">
        <f>F336</f>
        <v>1.2781</v>
      </c>
      <c r="E336" s="26">
        <f>F336</f>
        <v>1.2781</v>
      </c>
      <c r="F336" s="26">
        <f>ROUND(1.2781,4)</f>
        <v>1.2781</v>
      </c>
      <c r="G336" s="24"/>
      <c r="H336" s="25"/>
    </row>
    <row r="337" spans="1:8" ht="12.75" customHeight="1">
      <c r="A337" s="23">
        <v>43360</v>
      </c>
      <c r="B337" s="23"/>
      <c r="C337" s="26">
        <f>ROUND(1.2592569,4)</f>
        <v>1.2593</v>
      </c>
      <c r="D337" s="26">
        <f>F337</f>
        <v>1.2871</v>
      </c>
      <c r="E337" s="26">
        <f>F337</f>
        <v>1.2871</v>
      </c>
      <c r="F337" s="26">
        <f>ROUND(1.2871,4)</f>
        <v>1.2871</v>
      </c>
      <c r="G337" s="24"/>
      <c r="H337" s="25"/>
    </row>
    <row r="338" spans="1:8" ht="12.75" customHeight="1">
      <c r="A338" s="23">
        <v>43448</v>
      </c>
      <c r="B338" s="23"/>
      <c r="C338" s="26">
        <f>ROUND(1.2592569,4)</f>
        <v>1.2593</v>
      </c>
      <c r="D338" s="26">
        <f>F338</f>
        <v>1.295</v>
      </c>
      <c r="E338" s="26">
        <f>F338</f>
        <v>1.295</v>
      </c>
      <c r="F338" s="26">
        <f>ROUND(1.295,4)</f>
        <v>1.295</v>
      </c>
      <c r="G338" s="24"/>
      <c r="H338" s="25"/>
    </row>
    <row r="339" spans="1:8" ht="12.75" customHeight="1">
      <c r="A339" s="23">
        <v>43542</v>
      </c>
      <c r="B339" s="23"/>
      <c r="C339" s="26">
        <f>ROUND(1.2592569,4)</f>
        <v>1.2593</v>
      </c>
      <c r="D339" s="26">
        <f>F339</f>
        <v>1.3648</v>
      </c>
      <c r="E339" s="26">
        <f>F339</f>
        <v>1.3648</v>
      </c>
      <c r="F339" s="26">
        <f>ROUND(1.3648,4)</f>
        <v>1.3648</v>
      </c>
      <c r="G339" s="24"/>
      <c r="H339" s="25"/>
    </row>
    <row r="340" spans="1:8" ht="12.75" customHeight="1">
      <c r="A340" s="23">
        <v>43630</v>
      </c>
      <c r="B340" s="23"/>
      <c r="C340" s="26">
        <f>ROUND(1.2592569,4)</f>
        <v>1.2593</v>
      </c>
      <c r="D340" s="26">
        <f>F340</f>
        <v>1.3788</v>
      </c>
      <c r="E340" s="26">
        <f>F340</f>
        <v>1.3788</v>
      </c>
      <c r="F340" s="26">
        <f>ROUND(1.3788,4)</f>
        <v>1.3788</v>
      </c>
      <c r="G340" s="24"/>
      <c r="H340" s="25"/>
    </row>
    <row r="341" spans="1:8" ht="12.75" customHeight="1">
      <c r="A341" s="23">
        <v>43724</v>
      </c>
      <c r="B341" s="23"/>
      <c r="C341" s="26">
        <f>ROUND(1.2592569,4)</f>
        <v>1.2593</v>
      </c>
      <c r="D341" s="26">
        <f>F341</f>
        <v>1.3842</v>
      </c>
      <c r="E341" s="26">
        <f>F341</f>
        <v>1.3842</v>
      </c>
      <c r="F341" s="26">
        <f>ROUND(1.3842,4)</f>
        <v>1.3842</v>
      </c>
      <c r="G341" s="24"/>
      <c r="H341" s="25"/>
    </row>
    <row r="342" spans="1:8" ht="12.75" customHeight="1">
      <c r="A342" s="23">
        <v>43812</v>
      </c>
      <c r="B342" s="23"/>
      <c r="C342" s="26">
        <f>ROUND(1.2592569,4)</f>
        <v>1.2593</v>
      </c>
      <c r="D342" s="26">
        <f>F342</f>
        <v>1.3913</v>
      </c>
      <c r="E342" s="26">
        <f>F342</f>
        <v>1.3913</v>
      </c>
      <c r="F342" s="26">
        <f>ROUND(1.3913,4)</f>
        <v>1.3913</v>
      </c>
      <c r="G342" s="24"/>
      <c r="H342" s="25"/>
    </row>
    <row r="343" spans="1:8" ht="12.75" customHeight="1">
      <c r="A343" s="23" t="s">
        <v>70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ROUND(9.92063175686449,4)</f>
        <v>9.9206</v>
      </c>
      <c r="D344" s="26">
        <f>F344</f>
        <v>10.0205</v>
      </c>
      <c r="E344" s="26">
        <f>F344</f>
        <v>10.0205</v>
      </c>
      <c r="F344" s="26">
        <f>ROUND(10.0205,4)</f>
        <v>10.0205</v>
      </c>
      <c r="G344" s="24"/>
      <c r="H344" s="25"/>
    </row>
    <row r="345" spans="1:8" ht="12.75" customHeight="1">
      <c r="A345" s="23">
        <v>43269</v>
      </c>
      <c r="B345" s="23"/>
      <c r="C345" s="26">
        <f>ROUND(9.92063175686449,4)</f>
        <v>9.9206</v>
      </c>
      <c r="D345" s="26">
        <f>F345</f>
        <v>10.1608</v>
      </c>
      <c r="E345" s="26">
        <f>F345</f>
        <v>10.1608</v>
      </c>
      <c r="F345" s="26">
        <f>ROUND(10.1608,4)</f>
        <v>10.1608</v>
      </c>
      <c r="G345" s="24"/>
      <c r="H345" s="25"/>
    </row>
    <row r="346" spans="1:8" ht="12.75" customHeight="1">
      <c r="A346" s="23">
        <v>43360</v>
      </c>
      <c r="B346" s="23"/>
      <c r="C346" s="26">
        <f>ROUND(9.92063175686449,4)</f>
        <v>9.9206</v>
      </c>
      <c r="D346" s="26">
        <f>F346</f>
        <v>10.2983</v>
      </c>
      <c r="E346" s="26">
        <f>F346</f>
        <v>10.2983</v>
      </c>
      <c r="F346" s="26">
        <f>ROUND(10.2983,4)</f>
        <v>10.2983</v>
      </c>
      <c r="G346" s="24"/>
      <c r="H346" s="25"/>
    </row>
    <row r="347" spans="1:8" ht="12.75" customHeight="1">
      <c r="A347" s="23">
        <v>43448</v>
      </c>
      <c r="B347" s="23"/>
      <c r="C347" s="26">
        <f>ROUND(9.92063175686449,4)</f>
        <v>9.9206</v>
      </c>
      <c r="D347" s="26">
        <f>F347</f>
        <v>10.305</v>
      </c>
      <c r="E347" s="26">
        <f>F347</f>
        <v>10.305</v>
      </c>
      <c r="F347" s="26">
        <f>ROUND(10.305,4)</f>
        <v>10.305</v>
      </c>
      <c r="G347" s="24"/>
      <c r="H347" s="25"/>
    </row>
    <row r="348" spans="1:8" ht="12.75" customHeight="1">
      <c r="A348" s="23">
        <v>43542</v>
      </c>
      <c r="B348" s="23"/>
      <c r="C348" s="26">
        <f>ROUND(9.92063175686449,4)</f>
        <v>9.9206</v>
      </c>
      <c r="D348" s="26">
        <f>F348</f>
        <v>10.4334</v>
      </c>
      <c r="E348" s="26">
        <f>F348</f>
        <v>10.4334</v>
      </c>
      <c r="F348" s="26">
        <f>ROUND(10.4334,4)</f>
        <v>10.4334</v>
      </c>
      <c r="G348" s="24"/>
      <c r="H348" s="25"/>
    </row>
    <row r="349" spans="1:8" ht="12.75" customHeight="1">
      <c r="A349" s="23">
        <v>43630</v>
      </c>
      <c r="B349" s="23"/>
      <c r="C349" s="26">
        <f>ROUND(9.92063175686449,4)</f>
        <v>9.9206</v>
      </c>
      <c r="D349" s="26">
        <f>F349</f>
        <v>10.5737</v>
      </c>
      <c r="E349" s="26">
        <f>F349</f>
        <v>10.5737</v>
      </c>
      <c r="F349" s="26">
        <f>ROUND(10.5737,4)</f>
        <v>10.5737</v>
      </c>
      <c r="G349" s="24"/>
      <c r="H349" s="25"/>
    </row>
    <row r="350" spans="1:8" ht="12.75" customHeight="1">
      <c r="A350" s="23">
        <v>43724</v>
      </c>
      <c r="B350" s="23"/>
      <c r="C350" s="26">
        <f>ROUND(9.92063175686449,4)</f>
        <v>9.9206</v>
      </c>
      <c r="D350" s="26">
        <f>F350</f>
        <v>10.7086</v>
      </c>
      <c r="E350" s="26">
        <f>F350</f>
        <v>10.7086</v>
      </c>
      <c r="F350" s="26">
        <f>ROUND(10.7086,4)</f>
        <v>10.7086</v>
      </c>
      <c r="G350" s="24"/>
      <c r="H350" s="25"/>
    </row>
    <row r="351" spans="1:8" ht="12.75" customHeight="1">
      <c r="A351" s="23">
        <v>43812</v>
      </c>
      <c r="B351" s="23"/>
      <c r="C351" s="26">
        <f>ROUND(9.92063175686449,4)</f>
        <v>9.9206</v>
      </c>
      <c r="D351" s="26">
        <f>F351</f>
        <v>10.8521</v>
      </c>
      <c r="E351" s="26">
        <f>F351</f>
        <v>10.8521</v>
      </c>
      <c r="F351" s="26">
        <f>ROUND(10.8521,4)</f>
        <v>10.8521</v>
      </c>
      <c r="G351" s="24"/>
      <c r="H351" s="25"/>
    </row>
    <row r="352" spans="1:8" ht="12.75" customHeight="1">
      <c r="A352" s="23" t="s">
        <v>71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ROUND(1.93186598367054,4)</f>
        <v>1.9319</v>
      </c>
      <c r="D353" s="26">
        <f>F353</f>
        <v>1.9252</v>
      </c>
      <c r="E353" s="26">
        <f>F353</f>
        <v>1.9252</v>
      </c>
      <c r="F353" s="26">
        <f>ROUND(1.9252,4)</f>
        <v>1.9252</v>
      </c>
      <c r="G353" s="24"/>
      <c r="H353" s="25"/>
    </row>
    <row r="354" spans="1:8" ht="12.75" customHeight="1">
      <c r="A354" s="23">
        <v>43269</v>
      </c>
      <c r="B354" s="23"/>
      <c r="C354" s="26">
        <f>ROUND(1.93186598367054,4)</f>
        <v>1.9319</v>
      </c>
      <c r="D354" s="26">
        <f>F354</f>
        <v>1.9405</v>
      </c>
      <c r="E354" s="26">
        <f>F354</f>
        <v>1.9405</v>
      </c>
      <c r="F354" s="26">
        <f>ROUND(1.9405,4)</f>
        <v>1.9405</v>
      </c>
      <c r="G354" s="24"/>
      <c r="H354" s="25"/>
    </row>
    <row r="355" spans="1:8" ht="12.75" customHeight="1">
      <c r="A355" s="23">
        <v>43360</v>
      </c>
      <c r="B355" s="23"/>
      <c r="C355" s="26">
        <f>ROUND(1.93186598367054,4)</f>
        <v>1.9319</v>
      </c>
      <c r="D355" s="26">
        <f>F355</f>
        <v>1.9556</v>
      </c>
      <c r="E355" s="26">
        <f>F355</f>
        <v>1.9556</v>
      </c>
      <c r="F355" s="26">
        <f>ROUND(1.9556,4)</f>
        <v>1.9556</v>
      </c>
      <c r="G355" s="24"/>
      <c r="H355" s="25"/>
    </row>
    <row r="356" spans="1:8" ht="12.75" customHeight="1">
      <c r="A356" s="23">
        <v>43448</v>
      </c>
      <c r="B356" s="23"/>
      <c r="C356" s="26">
        <f>ROUND(1.93186598367054,4)</f>
        <v>1.9319</v>
      </c>
      <c r="D356" s="26">
        <f>F356</f>
        <v>1.9696</v>
      </c>
      <c r="E356" s="26">
        <f>F356</f>
        <v>1.9696</v>
      </c>
      <c r="F356" s="26">
        <f>ROUND(1.9696,4)</f>
        <v>1.9696</v>
      </c>
      <c r="G356" s="24"/>
      <c r="H356" s="25"/>
    </row>
    <row r="357" spans="1:8" ht="12.75" customHeight="1">
      <c r="A357" s="23">
        <v>43542</v>
      </c>
      <c r="B357" s="23"/>
      <c r="C357" s="26">
        <f>ROUND(1.93186598367054,4)</f>
        <v>1.9319</v>
      </c>
      <c r="D357" s="26">
        <f>F357</f>
        <v>1.9851</v>
      </c>
      <c r="E357" s="26">
        <f>F357</f>
        <v>1.9851</v>
      </c>
      <c r="F357" s="26">
        <f>ROUND(1.9851,4)</f>
        <v>1.9851</v>
      </c>
      <c r="G357" s="24"/>
      <c r="H357" s="25"/>
    </row>
    <row r="358" spans="1:8" ht="12.75" customHeight="1">
      <c r="A358" s="23">
        <v>43630</v>
      </c>
      <c r="B358" s="23"/>
      <c r="C358" s="26">
        <f>ROUND(1.93186598367054,4)</f>
        <v>1.9319</v>
      </c>
      <c r="D358" s="26">
        <f>F358</f>
        <v>2</v>
      </c>
      <c r="E358" s="26">
        <f>F358</f>
        <v>2</v>
      </c>
      <c r="F358" s="26">
        <f>ROUND(2,4)</f>
        <v>2</v>
      </c>
      <c r="G358" s="24"/>
      <c r="H358" s="25"/>
    </row>
    <row r="359" spans="1:8" ht="12.75" customHeight="1">
      <c r="A359" s="23">
        <v>43724</v>
      </c>
      <c r="B359" s="23"/>
      <c r="C359" s="26">
        <f>ROUND(1.93186598367054,4)</f>
        <v>1.9319</v>
      </c>
      <c r="D359" s="26">
        <f>F359</f>
        <v>2.0158</v>
      </c>
      <c r="E359" s="26">
        <f>F359</f>
        <v>2.0158</v>
      </c>
      <c r="F359" s="26">
        <f>ROUND(2.0158,4)</f>
        <v>2.0158</v>
      </c>
      <c r="G359" s="24"/>
      <c r="H359" s="25"/>
    </row>
    <row r="360" spans="1:8" ht="12.75" customHeight="1">
      <c r="A360" s="23">
        <v>43812</v>
      </c>
      <c r="B360" s="23"/>
      <c r="C360" s="26">
        <f>ROUND(1.93186598367054,4)</f>
        <v>1.9319</v>
      </c>
      <c r="D360" s="26">
        <f>F360</f>
        <v>2.0304</v>
      </c>
      <c r="E360" s="26">
        <f>F360</f>
        <v>2.0304</v>
      </c>
      <c r="F360" s="26">
        <f>ROUND(2.0304,4)</f>
        <v>2.0304</v>
      </c>
      <c r="G360" s="24"/>
      <c r="H360" s="25"/>
    </row>
    <row r="361" spans="1:8" ht="12.75" customHeight="1">
      <c r="A361" s="23" t="s">
        <v>72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ROUND(2.01257368276763,4)</f>
        <v>2.0126</v>
      </c>
      <c r="D362" s="26">
        <f>F362</f>
        <v>2.05</v>
      </c>
      <c r="E362" s="26">
        <f>F362</f>
        <v>2.05</v>
      </c>
      <c r="F362" s="26">
        <f>ROUND(2.05,4)</f>
        <v>2.05</v>
      </c>
      <c r="G362" s="24"/>
      <c r="H362" s="25"/>
    </row>
    <row r="363" spans="1:8" ht="12.75" customHeight="1">
      <c r="A363" s="23">
        <v>43269</v>
      </c>
      <c r="B363" s="23"/>
      <c r="C363" s="26">
        <f>ROUND(2.01257368276763,4)</f>
        <v>2.0126</v>
      </c>
      <c r="D363" s="26">
        <f>F363</f>
        <v>2.0912</v>
      </c>
      <c r="E363" s="26">
        <f>F363</f>
        <v>2.0912</v>
      </c>
      <c r="F363" s="26">
        <f>ROUND(2.0912,4)</f>
        <v>2.0912</v>
      </c>
      <c r="G363" s="24"/>
      <c r="H363" s="25"/>
    </row>
    <row r="364" spans="1:8" ht="12.75" customHeight="1">
      <c r="A364" s="23">
        <v>43360</v>
      </c>
      <c r="B364" s="23"/>
      <c r="C364" s="26">
        <f>ROUND(2.01257368276763,4)</f>
        <v>2.0126</v>
      </c>
      <c r="D364" s="26">
        <f>F364</f>
        <v>2.1327</v>
      </c>
      <c r="E364" s="26">
        <f>F364</f>
        <v>2.1327</v>
      </c>
      <c r="F364" s="26">
        <f>ROUND(2.1327,4)</f>
        <v>2.1327</v>
      </c>
      <c r="G364" s="24"/>
      <c r="H364" s="25"/>
    </row>
    <row r="365" spans="1:8" ht="12.75" customHeight="1">
      <c r="A365" s="23">
        <v>43448</v>
      </c>
      <c r="B365" s="23"/>
      <c r="C365" s="26">
        <f>ROUND(2.01257368276763,4)</f>
        <v>2.0126</v>
      </c>
      <c r="D365" s="26">
        <f>F365</f>
        <v>2.1708</v>
      </c>
      <c r="E365" s="26">
        <f>F365</f>
        <v>2.1708</v>
      </c>
      <c r="F365" s="26">
        <f>ROUND(2.1708,4)</f>
        <v>2.1708</v>
      </c>
      <c r="G365" s="24"/>
      <c r="H365" s="25"/>
    </row>
    <row r="366" spans="1:8" ht="12.75" customHeight="1">
      <c r="A366" s="23">
        <v>43542</v>
      </c>
      <c r="B366" s="23"/>
      <c r="C366" s="26">
        <f>ROUND(2.01257368276763,4)</f>
        <v>2.0126</v>
      </c>
      <c r="D366" s="26">
        <f>F366</f>
        <v>2.2966</v>
      </c>
      <c r="E366" s="26">
        <f>F366</f>
        <v>2.2966</v>
      </c>
      <c r="F366" s="26">
        <f>ROUND(2.2966,4)</f>
        <v>2.2966</v>
      </c>
      <c r="G366" s="24"/>
      <c r="H366" s="25"/>
    </row>
    <row r="367" spans="1:8" ht="12.75" customHeight="1">
      <c r="A367" s="23">
        <v>43630</v>
      </c>
      <c r="B367" s="23"/>
      <c r="C367" s="26">
        <f>ROUND(2.01257368276763,4)</f>
        <v>2.0126</v>
      </c>
      <c r="D367" s="26">
        <f>F367</f>
        <v>2.3543</v>
      </c>
      <c r="E367" s="26">
        <f>F367</f>
        <v>2.3543</v>
      </c>
      <c r="F367" s="26">
        <f>ROUND(2.3543,4)</f>
        <v>2.3543</v>
      </c>
      <c r="G367" s="24"/>
      <c r="H367" s="25"/>
    </row>
    <row r="368" spans="1:8" ht="12.75" customHeight="1">
      <c r="A368" s="23">
        <v>43724</v>
      </c>
      <c r="B368" s="23"/>
      <c r="C368" s="26">
        <f>ROUND(2.01257368276763,4)</f>
        <v>2.0126</v>
      </c>
      <c r="D368" s="26">
        <f>F368</f>
        <v>2.415</v>
      </c>
      <c r="E368" s="26">
        <f>F368</f>
        <v>2.415</v>
      </c>
      <c r="F368" s="26">
        <f>ROUND(2.415,4)</f>
        <v>2.415</v>
      </c>
      <c r="G368" s="24"/>
      <c r="H368" s="25"/>
    </row>
    <row r="369" spans="1:8" ht="12.75" customHeight="1">
      <c r="A369" s="23">
        <v>43812</v>
      </c>
      <c r="B369" s="23"/>
      <c r="C369" s="26">
        <f>ROUND(2.01257368276763,4)</f>
        <v>2.0126</v>
      </c>
      <c r="D369" s="26">
        <f>F369</f>
        <v>2.4774</v>
      </c>
      <c r="E369" s="26">
        <f>F369</f>
        <v>2.4774</v>
      </c>
      <c r="F369" s="26">
        <f>ROUND(2.4774,4)</f>
        <v>2.4774</v>
      </c>
      <c r="G369" s="24"/>
      <c r="H369" s="25"/>
    </row>
    <row r="370" spans="1:8" ht="12.75" customHeight="1">
      <c r="A370" s="23" t="s">
        <v>73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ROUND(14.98870343625,4)</f>
        <v>14.9887</v>
      </c>
      <c r="D371" s="26">
        <f>F371</f>
        <v>15.1861</v>
      </c>
      <c r="E371" s="26">
        <f>F371</f>
        <v>15.1861</v>
      </c>
      <c r="F371" s="26">
        <f>ROUND(15.1861,4)</f>
        <v>15.1861</v>
      </c>
      <c r="G371" s="24"/>
      <c r="H371" s="25"/>
    </row>
    <row r="372" spans="1:8" ht="12.75" customHeight="1">
      <c r="A372" s="23">
        <v>43269</v>
      </c>
      <c r="B372" s="23"/>
      <c r="C372" s="26">
        <f>ROUND(14.98870343625,4)</f>
        <v>14.9887</v>
      </c>
      <c r="D372" s="26">
        <f>F372</f>
        <v>15.4808</v>
      </c>
      <c r="E372" s="26">
        <f>F372</f>
        <v>15.4808</v>
      </c>
      <c r="F372" s="26">
        <f>ROUND(15.4808,4)</f>
        <v>15.4808</v>
      </c>
      <c r="G372" s="24"/>
      <c r="H372" s="25"/>
    </row>
    <row r="373" spans="1:8" ht="12.75" customHeight="1">
      <c r="A373" s="23">
        <v>43360</v>
      </c>
      <c r="B373" s="23"/>
      <c r="C373" s="26">
        <f>ROUND(14.98870343625,4)</f>
        <v>14.9887</v>
      </c>
      <c r="D373" s="26">
        <f>F373</f>
        <v>15.7819</v>
      </c>
      <c r="E373" s="26">
        <f>F373</f>
        <v>15.7819</v>
      </c>
      <c r="F373" s="26">
        <f>ROUND(15.7819,4)</f>
        <v>15.7819</v>
      </c>
      <c r="G373" s="24"/>
      <c r="H373" s="25"/>
    </row>
    <row r="374" spans="1:8" ht="12.75" customHeight="1">
      <c r="A374" s="23">
        <v>43448</v>
      </c>
      <c r="B374" s="23"/>
      <c r="C374" s="26">
        <f>ROUND(14.98870343625,4)</f>
        <v>14.9887</v>
      </c>
      <c r="D374" s="26">
        <f>F374</f>
        <v>16.0745</v>
      </c>
      <c r="E374" s="26">
        <f>F374</f>
        <v>16.0745</v>
      </c>
      <c r="F374" s="26">
        <f>ROUND(16.0745,4)</f>
        <v>16.0745</v>
      </c>
      <c r="G374" s="24"/>
      <c r="H374" s="25"/>
    </row>
    <row r="375" spans="1:8" ht="12.75" customHeight="1">
      <c r="A375" s="23">
        <v>43542</v>
      </c>
      <c r="B375" s="23"/>
      <c r="C375" s="26">
        <f>ROUND(14.98870343625,4)</f>
        <v>14.9887</v>
      </c>
      <c r="D375" s="26">
        <f>F375</f>
        <v>16.3698</v>
      </c>
      <c r="E375" s="26">
        <f>F375</f>
        <v>16.3698</v>
      </c>
      <c r="F375" s="26">
        <f>ROUND(16.3698,4)</f>
        <v>16.3698</v>
      </c>
      <c r="G375" s="24"/>
      <c r="H375" s="25"/>
    </row>
    <row r="376" spans="1:8" ht="12.75" customHeight="1">
      <c r="A376" s="23">
        <v>43630</v>
      </c>
      <c r="B376" s="23"/>
      <c r="C376" s="26">
        <f>ROUND(14.98870343625,4)</f>
        <v>14.9887</v>
      </c>
      <c r="D376" s="26">
        <f>F376</f>
        <v>16.7001</v>
      </c>
      <c r="E376" s="26">
        <f>F376</f>
        <v>16.7001</v>
      </c>
      <c r="F376" s="26">
        <f>ROUND(16.7001,4)</f>
        <v>16.7001</v>
      </c>
      <c r="G376" s="24"/>
      <c r="H376" s="25"/>
    </row>
    <row r="377" spans="1:8" ht="12.75" customHeight="1">
      <c r="A377" s="23">
        <v>43724</v>
      </c>
      <c r="B377" s="23"/>
      <c r="C377" s="26">
        <f>ROUND(14.98870343625,4)</f>
        <v>14.9887</v>
      </c>
      <c r="D377" s="26">
        <f>F377</f>
        <v>17.0957</v>
      </c>
      <c r="E377" s="26">
        <f>F377</f>
        <v>17.0957</v>
      </c>
      <c r="F377" s="26">
        <f>ROUND(17.0957,4)</f>
        <v>17.0957</v>
      </c>
      <c r="G377" s="24"/>
      <c r="H377" s="25"/>
    </row>
    <row r="378" spans="1:8" ht="12.75" customHeight="1">
      <c r="A378" s="23">
        <v>43812</v>
      </c>
      <c r="B378" s="23"/>
      <c r="C378" s="26">
        <f>ROUND(14.98870343625,4)</f>
        <v>14.9887</v>
      </c>
      <c r="D378" s="26">
        <f>F378</f>
        <v>17.47</v>
      </c>
      <c r="E378" s="26">
        <f>F378</f>
        <v>17.47</v>
      </c>
      <c r="F378" s="26">
        <f>ROUND(17.47,4)</f>
        <v>17.47</v>
      </c>
      <c r="G378" s="24"/>
      <c r="H378" s="25"/>
    </row>
    <row r="379" spans="1:8" ht="12.75" customHeight="1">
      <c r="A379" s="23" t="s">
        <v>74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ROUND(12.775213934077,4)</f>
        <v>12.7752</v>
      </c>
      <c r="D380" s="26">
        <f>F380</f>
        <v>12.9522</v>
      </c>
      <c r="E380" s="26">
        <f>F380</f>
        <v>12.9522</v>
      </c>
      <c r="F380" s="26">
        <f>ROUND(12.9522,4)</f>
        <v>12.9522</v>
      </c>
      <c r="G380" s="24"/>
      <c r="H380" s="25"/>
    </row>
    <row r="381" spans="1:8" ht="12.75" customHeight="1">
      <c r="A381" s="23">
        <v>43269</v>
      </c>
      <c r="B381" s="23"/>
      <c r="C381" s="26">
        <f>ROUND(12.775213934077,4)</f>
        <v>12.7752</v>
      </c>
      <c r="D381" s="26">
        <f>F381</f>
        <v>13.217</v>
      </c>
      <c r="E381" s="26">
        <f>F381</f>
        <v>13.217</v>
      </c>
      <c r="F381" s="26">
        <f>ROUND(13.217,4)</f>
        <v>13.217</v>
      </c>
      <c r="G381" s="24"/>
      <c r="H381" s="25"/>
    </row>
    <row r="382" spans="1:8" ht="12.75" customHeight="1">
      <c r="A382" s="23">
        <v>43360</v>
      </c>
      <c r="B382" s="23"/>
      <c r="C382" s="26">
        <f>ROUND(12.775213934077,4)</f>
        <v>12.7752</v>
      </c>
      <c r="D382" s="26">
        <f>F382</f>
        <v>13.4885</v>
      </c>
      <c r="E382" s="26">
        <f>F382</f>
        <v>13.4885</v>
      </c>
      <c r="F382" s="26">
        <f>ROUND(13.4885,4)</f>
        <v>13.4885</v>
      </c>
      <c r="G382" s="24"/>
      <c r="H382" s="25"/>
    </row>
    <row r="383" spans="1:8" ht="12.75" customHeight="1">
      <c r="A383" s="23">
        <v>43448</v>
      </c>
      <c r="B383" s="23"/>
      <c r="C383" s="26">
        <f>ROUND(12.775213934077,4)</f>
        <v>12.7752</v>
      </c>
      <c r="D383" s="26">
        <f>F383</f>
        <v>13.7502</v>
      </c>
      <c r="E383" s="26">
        <f>F383</f>
        <v>13.7502</v>
      </c>
      <c r="F383" s="26">
        <f>ROUND(13.7502,4)</f>
        <v>13.7502</v>
      </c>
      <c r="G383" s="24"/>
      <c r="H383" s="25"/>
    </row>
    <row r="384" spans="1:8" ht="12.75" customHeight="1">
      <c r="A384" s="23">
        <v>43542</v>
      </c>
      <c r="B384" s="23"/>
      <c r="C384" s="26">
        <f>ROUND(12.775213934077,4)</f>
        <v>12.7752</v>
      </c>
      <c r="D384" s="26">
        <f>F384</f>
        <v>14.0088</v>
      </c>
      <c r="E384" s="26">
        <f>F384</f>
        <v>14.0088</v>
      </c>
      <c r="F384" s="26">
        <f>ROUND(14.0088,4)</f>
        <v>14.0088</v>
      </c>
      <c r="G384" s="24"/>
      <c r="H384" s="25"/>
    </row>
    <row r="385" spans="1:8" ht="12.75" customHeight="1">
      <c r="A385" s="23">
        <v>43630</v>
      </c>
      <c r="B385" s="23"/>
      <c r="C385" s="26">
        <f>ROUND(12.775213934077,4)</f>
        <v>12.7752</v>
      </c>
      <c r="D385" s="26">
        <f>F385</f>
        <v>14.5858</v>
      </c>
      <c r="E385" s="26">
        <f>F385</f>
        <v>14.5858</v>
      </c>
      <c r="F385" s="26">
        <f>ROUND(14.5858,4)</f>
        <v>14.5858</v>
      </c>
      <c r="G385" s="24"/>
      <c r="H385" s="25"/>
    </row>
    <row r="386" spans="1:8" ht="12.75" customHeight="1">
      <c r="A386" s="23">
        <v>43724</v>
      </c>
      <c r="B386" s="23"/>
      <c r="C386" s="26">
        <f>ROUND(12.775213934077,4)</f>
        <v>12.7752</v>
      </c>
      <c r="D386" s="26">
        <f>F386</f>
        <v>14.8493</v>
      </c>
      <c r="E386" s="26">
        <f>F386</f>
        <v>14.8493</v>
      </c>
      <c r="F386" s="26">
        <f>ROUND(14.8493,4)</f>
        <v>14.8493</v>
      </c>
      <c r="G386" s="24"/>
      <c r="H386" s="25"/>
    </row>
    <row r="387" spans="1:8" ht="12.75" customHeight="1">
      <c r="A387" s="23">
        <v>43812</v>
      </c>
      <c r="B387" s="23"/>
      <c r="C387" s="26">
        <f>ROUND(12.775213934077,4)</f>
        <v>12.7752</v>
      </c>
      <c r="D387" s="26">
        <f>F387</f>
        <v>15.11</v>
      </c>
      <c r="E387" s="26">
        <f>F387</f>
        <v>15.11</v>
      </c>
      <c r="F387" s="26">
        <f>ROUND(15.11,4)</f>
        <v>15.11</v>
      </c>
      <c r="G387" s="24"/>
      <c r="H387" s="25"/>
    </row>
    <row r="388" spans="1:8" ht="12.75" customHeight="1">
      <c r="A388" s="23" t="s">
        <v>75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ROUND(16.8460451475,4)</f>
        <v>16.846</v>
      </c>
      <c r="D389" s="26">
        <f>F389</f>
        <v>17.0396</v>
      </c>
      <c r="E389" s="26">
        <f>F389</f>
        <v>17.0396</v>
      </c>
      <c r="F389" s="26">
        <f>ROUND(17.0396,4)</f>
        <v>17.0396</v>
      </c>
      <c r="G389" s="24"/>
      <c r="H389" s="25"/>
    </row>
    <row r="390" spans="1:8" ht="12.75" customHeight="1">
      <c r="A390" s="23">
        <v>43269</v>
      </c>
      <c r="B390" s="23"/>
      <c r="C390" s="26">
        <f>ROUND(16.8460451475,4)</f>
        <v>16.846</v>
      </c>
      <c r="D390" s="26">
        <f>F390</f>
        <v>17.3234</v>
      </c>
      <c r="E390" s="26">
        <f>F390</f>
        <v>17.3234</v>
      </c>
      <c r="F390" s="26">
        <f>ROUND(17.3234,4)</f>
        <v>17.3234</v>
      </c>
      <c r="G390" s="24"/>
      <c r="H390" s="25"/>
    </row>
    <row r="391" spans="1:8" ht="12.75" customHeight="1">
      <c r="A391" s="23">
        <v>43360</v>
      </c>
      <c r="B391" s="23"/>
      <c r="C391" s="26">
        <f>ROUND(16.8460451475,4)</f>
        <v>16.846</v>
      </c>
      <c r="D391" s="26">
        <f>F391</f>
        <v>17.6072</v>
      </c>
      <c r="E391" s="26">
        <f>F391</f>
        <v>17.6072</v>
      </c>
      <c r="F391" s="26">
        <f>ROUND(17.6072,4)</f>
        <v>17.6072</v>
      </c>
      <c r="G391" s="24"/>
      <c r="H391" s="25"/>
    </row>
    <row r="392" spans="1:8" ht="12.75" customHeight="1">
      <c r="A392" s="23">
        <v>43448</v>
      </c>
      <c r="B392" s="23"/>
      <c r="C392" s="26">
        <f>ROUND(16.8460451475,4)</f>
        <v>16.846</v>
      </c>
      <c r="D392" s="26">
        <f>F392</f>
        <v>17.8802</v>
      </c>
      <c r="E392" s="26">
        <f>F392</f>
        <v>17.8802</v>
      </c>
      <c r="F392" s="26">
        <f>ROUND(17.8802,4)</f>
        <v>17.8802</v>
      </c>
      <c r="G392" s="24"/>
      <c r="H392" s="25"/>
    </row>
    <row r="393" spans="1:8" ht="12.75" customHeight="1">
      <c r="A393" s="23">
        <v>43542</v>
      </c>
      <c r="B393" s="23"/>
      <c r="C393" s="26">
        <f>ROUND(16.8460451475,4)</f>
        <v>16.846</v>
      </c>
      <c r="D393" s="26">
        <f>F393</f>
        <v>18.1875</v>
      </c>
      <c r="E393" s="26">
        <f>F393</f>
        <v>18.1875</v>
      </c>
      <c r="F393" s="26">
        <f>ROUND(18.1875,4)</f>
        <v>18.1875</v>
      </c>
      <c r="G393" s="24"/>
      <c r="H393" s="25"/>
    </row>
    <row r="394" spans="1:8" ht="12.75" customHeight="1">
      <c r="A394" s="23">
        <v>43630</v>
      </c>
      <c r="B394" s="23"/>
      <c r="C394" s="26">
        <f>ROUND(16.8460451475,4)</f>
        <v>16.846</v>
      </c>
      <c r="D394" s="26">
        <f>F394</f>
        <v>18.4754</v>
      </c>
      <c r="E394" s="26">
        <f>F394</f>
        <v>18.4754</v>
      </c>
      <c r="F394" s="26">
        <f>ROUND(18.4754,4)</f>
        <v>18.4754</v>
      </c>
      <c r="G394" s="24"/>
      <c r="H394" s="25"/>
    </row>
    <row r="395" spans="1:8" ht="12.75" customHeight="1">
      <c r="A395" s="23">
        <v>43724</v>
      </c>
      <c r="B395" s="23"/>
      <c r="C395" s="26">
        <f>ROUND(16.8460451475,4)</f>
        <v>16.846</v>
      </c>
      <c r="D395" s="26">
        <f>F395</f>
        <v>18.5476</v>
      </c>
      <c r="E395" s="26">
        <f>F395</f>
        <v>18.5476</v>
      </c>
      <c r="F395" s="26">
        <f>ROUND(18.5476,4)</f>
        <v>18.5476</v>
      </c>
      <c r="G395" s="24"/>
      <c r="H395" s="25"/>
    </row>
    <row r="396" spans="1:8" ht="12.75" customHeight="1">
      <c r="A396" s="23">
        <v>43812</v>
      </c>
      <c r="B396" s="23"/>
      <c r="C396" s="26">
        <f>ROUND(16.8460451475,4)</f>
        <v>16.846</v>
      </c>
      <c r="D396" s="26">
        <f>F396</f>
        <v>19.0791</v>
      </c>
      <c r="E396" s="26">
        <f>F396</f>
        <v>19.0791</v>
      </c>
      <c r="F396" s="26">
        <f>ROUND(19.0791,4)</f>
        <v>19.0791</v>
      </c>
      <c r="G396" s="24"/>
      <c r="H396" s="25"/>
    </row>
    <row r="397" spans="1:8" ht="12.75" customHeight="1">
      <c r="A397" s="23" t="s">
        <v>76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26">
        <f>ROUND(1.59064398503089,4)</f>
        <v>1.5906</v>
      </c>
      <c r="D398" s="26">
        <f>F398</f>
        <v>1.6079</v>
      </c>
      <c r="E398" s="26">
        <f>F398</f>
        <v>1.6079</v>
      </c>
      <c r="F398" s="26">
        <f>ROUND(1.6079,4)</f>
        <v>1.6079</v>
      </c>
      <c r="G398" s="24"/>
      <c r="H398" s="25"/>
    </row>
    <row r="399" spans="1:8" ht="12.75" customHeight="1">
      <c r="A399" s="23">
        <v>43269</v>
      </c>
      <c r="B399" s="23"/>
      <c r="C399" s="26">
        <f>ROUND(1.59064398503089,4)</f>
        <v>1.5906</v>
      </c>
      <c r="D399" s="26">
        <f>F399</f>
        <v>1.632</v>
      </c>
      <c r="E399" s="26">
        <f>F399</f>
        <v>1.632</v>
      </c>
      <c r="F399" s="26">
        <f>ROUND(1.632,4)</f>
        <v>1.632</v>
      </c>
      <c r="G399" s="24"/>
      <c r="H399" s="25"/>
    </row>
    <row r="400" spans="1:8" ht="12.75" customHeight="1">
      <c r="A400" s="23">
        <v>43360</v>
      </c>
      <c r="B400" s="23"/>
      <c r="C400" s="26">
        <f>ROUND(1.59064398503089,4)</f>
        <v>1.5906</v>
      </c>
      <c r="D400" s="26">
        <f>F400</f>
        <v>1.6551</v>
      </c>
      <c r="E400" s="26">
        <f>F400</f>
        <v>1.6551</v>
      </c>
      <c r="F400" s="26">
        <f>ROUND(1.6551,4)</f>
        <v>1.6551</v>
      </c>
      <c r="G400" s="24"/>
      <c r="H400" s="25"/>
    </row>
    <row r="401" spans="1:8" ht="12.75" customHeight="1">
      <c r="A401" s="23">
        <v>43448</v>
      </c>
      <c r="B401" s="23"/>
      <c r="C401" s="26">
        <f>ROUND(1.59064398503089,4)</f>
        <v>1.5906</v>
      </c>
      <c r="D401" s="26">
        <f>F401</f>
        <v>1.6765</v>
      </c>
      <c r="E401" s="26">
        <f>F401</f>
        <v>1.6765</v>
      </c>
      <c r="F401" s="26">
        <f>ROUND(1.6765,4)</f>
        <v>1.6765</v>
      </c>
      <c r="G401" s="24"/>
      <c r="H401" s="25"/>
    </row>
    <row r="402" spans="1:8" ht="12.75" customHeight="1">
      <c r="A402" s="23">
        <v>43542</v>
      </c>
      <c r="B402" s="23"/>
      <c r="C402" s="26">
        <f>ROUND(1.59064398503089,4)</f>
        <v>1.5906</v>
      </c>
      <c r="D402" s="26">
        <f>F402</f>
        <v>1.763</v>
      </c>
      <c r="E402" s="26">
        <f>F402</f>
        <v>1.763</v>
      </c>
      <c r="F402" s="26">
        <f>ROUND(1.763,4)</f>
        <v>1.763</v>
      </c>
      <c r="G402" s="24"/>
      <c r="H402" s="25"/>
    </row>
    <row r="403" spans="1:8" ht="12.75" customHeight="1">
      <c r="A403" s="23">
        <v>43630</v>
      </c>
      <c r="B403" s="23"/>
      <c r="C403" s="26">
        <f>ROUND(1.59064398503089,4)</f>
        <v>1.5906</v>
      </c>
      <c r="D403" s="26">
        <f>F403</f>
        <v>1.7888</v>
      </c>
      <c r="E403" s="26">
        <f>F403</f>
        <v>1.7888</v>
      </c>
      <c r="F403" s="26">
        <f>ROUND(1.7888,4)</f>
        <v>1.7888</v>
      </c>
      <c r="G403" s="24"/>
      <c r="H403" s="25"/>
    </row>
    <row r="404" spans="1:8" ht="12.75" customHeight="1">
      <c r="A404" s="23">
        <v>43724</v>
      </c>
      <c r="B404" s="23"/>
      <c r="C404" s="26">
        <f>ROUND(1.59064398503089,4)</f>
        <v>1.5906</v>
      </c>
      <c r="D404" s="26">
        <f>F404</f>
        <v>1.8146</v>
      </c>
      <c r="E404" s="26">
        <f>F404</f>
        <v>1.8146</v>
      </c>
      <c r="F404" s="26">
        <f>ROUND(1.8146,4)</f>
        <v>1.8146</v>
      </c>
      <c r="G404" s="24"/>
      <c r="H404" s="25"/>
    </row>
    <row r="405" spans="1:8" ht="12.75" customHeight="1">
      <c r="A405" s="23">
        <v>43812</v>
      </c>
      <c r="B405" s="23"/>
      <c r="C405" s="26">
        <f>ROUND(1.59064398503089,4)</f>
        <v>1.5906</v>
      </c>
      <c r="D405" s="26">
        <f>F405</f>
        <v>1.842</v>
      </c>
      <c r="E405" s="26">
        <f>F405</f>
        <v>1.842</v>
      </c>
      <c r="F405" s="26">
        <f>ROUND(1.842,4)</f>
        <v>1.842</v>
      </c>
      <c r="G405" s="24"/>
      <c r="H405" s="25"/>
    </row>
    <row r="406" spans="1:8" ht="12.75" customHeight="1">
      <c r="A406" s="23" t="s">
        <v>77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30">
        <f>ROUND(0.111611667728076,6)</f>
        <v>0.111612</v>
      </c>
      <c r="D407" s="30">
        <f>F407</f>
        <v>0.113027</v>
      </c>
      <c r="E407" s="30">
        <f>F407</f>
        <v>0.113027</v>
      </c>
      <c r="F407" s="30">
        <f>ROUND(0.113027,6)</f>
        <v>0.113027</v>
      </c>
      <c r="G407" s="24"/>
      <c r="H407" s="25"/>
    </row>
    <row r="408" spans="1:8" ht="12.75" customHeight="1">
      <c r="A408" s="23">
        <v>43269</v>
      </c>
      <c r="B408" s="23"/>
      <c r="C408" s="30">
        <f>ROUND(0.111611667728076,6)</f>
        <v>0.111612</v>
      </c>
      <c r="D408" s="30">
        <f>F408</f>
        <v>0.115138</v>
      </c>
      <c r="E408" s="30">
        <f>F408</f>
        <v>0.115138</v>
      </c>
      <c r="F408" s="30">
        <f>ROUND(0.115138,6)</f>
        <v>0.115138</v>
      </c>
      <c r="G408" s="24"/>
      <c r="H408" s="25"/>
    </row>
    <row r="409" spans="1:8" ht="12.75" customHeight="1">
      <c r="A409" s="23">
        <v>43360</v>
      </c>
      <c r="B409" s="23"/>
      <c r="C409" s="30">
        <f>ROUND(0.111611667728076,6)</f>
        <v>0.111612</v>
      </c>
      <c r="D409" s="30">
        <f>F409</f>
        <v>0.117304</v>
      </c>
      <c r="E409" s="30">
        <f>F409</f>
        <v>0.117304</v>
      </c>
      <c r="F409" s="30">
        <f>ROUND(0.117304,6)</f>
        <v>0.117304</v>
      </c>
      <c r="G409" s="24"/>
      <c r="H409" s="25"/>
    </row>
    <row r="410" spans="1:8" ht="12.75" customHeight="1">
      <c r="A410" s="23">
        <v>43448</v>
      </c>
      <c r="B410" s="23"/>
      <c r="C410" s="30">
        <f>ROUND(0.111611667728076,6)</f>
        <v>0.111612</v>
      </c>
      <c r="D410" s="30">
        <f>F410</f>
        <v>0.119427</v>
      </c>
      <c r="E410" s="30">
        <f>F410</f>
        <v>0.119427</v>
      </c>
      <c r="F410" s="30">
        <f>ROUND(0.119427,6)</f>
        <v>0.119427</v>
      </c>
      <c r="G410" s="24"/>
      <c r="H410" s="25"/>
    </row>
    <row r="411" spans="1:8" ht="12.75" customHeight="1">
      <c r="A411" s="23">
        <v>43542</v>
      </c>
      <c r="B411" s="23"/>
      <c r="C411" s="30">
        <f>ROUND(0.111611667728076,6)</f>
        <v>0.111612</v>
      </c>
      <c r="D411" s="30">
        <f>F411</f>
        <v>0.121891</v>
      </c>
      <c r="E411" s="30">
        <f>F411</f>
        <v>0.121891</v>
      </c>
      <c r="F411" s="30">
        <f>ROUND(0.121891,6)</f>
        <v>0.121891</v>
      </c>
      <c r="G411" s="24"/>
      <c r="H411" s="25"/>
    </row>
    <row r="412" spans="1:8" ht="12.75" customHeight="1">
      <c r="A412" s="23">
        <v>43630</v>
      </c>
      <c r="B412" s="23"/>
      <c r="C412" s="30">
        <f>ROUND(0.111611667728076,6)</f>
        <v>0.111612</v>
      </c>
      <c r="D412" s="30">
        <f>F412</f>
        <v>0.127288</v>
      </c>
      <c r="E412" s="30">
        <f>F412</f>
        <v>0.127288</v>
      </c>
      <c r="F412" s="30">
        <f>ROUND(0.127288,6)</f>
        <v>0.127288</v>
      </c>
      <c r="G412" s="24"/>
      <c r="H412" s="25"/>
    </row>
    <row r="413" spans="1:8" ht="12.75" customHeight="1">
      <c r="A413" s="23">
        <v>43724</v>
      </c>
      <c r="B413" s="23"/>
      <c r="C413" s="30">
        <f>ROUND(0.111611667728076,6)</f>
        <v>0.111612</v>
      </c>
      <c r="D413" s="30">
        <f>F413</f>
        <v>0.129402</v>
      </c>
      <c r="E413" s="30">
        <f>F413</f>
        <v>0.129402</v>
      </c>
      <c r="F413" s="30">
        <f>ROUND(0.129402,6)</f>
        <v>0.129402</v>
      </c>
      <c r="G413" s="24"/>
      <c r="H413" s="25"/>
    </row>
    <row r="414" spans="1:8" ht="12.75" customHeight="1">
      <c r="A414" s="23">
        <v>43812</v>
      </c>
      <c r="B414" s="23"/>
      <c r="C414" s="30">
        <f>ROUND(0.111611667728076,6)</f>
        <v>0.111612</v>
      </c>
      <c r="D414" s="30">
        <f>F414</f>
        <v>0.131196</v>
      </c>
      <c r="E414" s="30">
        <f>F414</f>
        <v>0.131196</v>
      </c>
      <c r="F414" s="30">
        <f>ROUND(0.131196,6)</f>
        <v>0.131196</v>
      </c>
      <c r="G414" s="24"/>
      <c r="H414" s="25"/>
    </row>
    <row r="415" spans="1:8" ht="12.75" customHeight="1">
      <c r="A415" s="23" t="s">
        <v>78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ROUND(0.120761354813665,4)</f>
        <v>0.1208</v>
      </c>
      <c r="D416" s="26">
        <f>F416</f>
        <v>0.1205</v>
      </c>
      <c r="E416" s="26">
        <f>F416</f>
        <v>0.1205</v>
      </c>
      <c r="F416" s="26">
        <f>ROUND(0.1205,4)</f>
        <v>0.1205</v>
      </c>
      <c r="G416" s="24"/>
      <c r="H416" s="25"/>
    </row>
    <row r="417" spans="1:8" ht="12.75" customHeight="1">
      <c r="A417" s="23">
        <v>43269</v>
      </c>
      <c r="B417" s="23"/>
      <c r="C417" s="26">
        <f>ROUND(0.120761354813665,4)</f>
        <v>0.1208</v>
      </c>
      <c r="D417" s="26">
        <f>F417</f>
        <v>0.1196</v>
      </c>
      <c r="E417" s="26">
        <f>F417</f>
        <v>0.1196</v>
      </c>
      <c r="F417" s="26">
        <f>ROUND(0.1196,4)</f>
        <v>0.1196</v>
      </c>
      <c r="G417" s="24"/>
      <c r="H417" s="25"/>
    </row>
    <row r="418" spans="1:8" ht="12.75" customHeight="1">
      <c r="A418" s="23">
        <v>43360</v>
      </c>
      <c r="B418" s="23"/>
      <c r="C418" s="26">
        <f>ROUND(0.120761354813665,4)</f>
        <v>0.1208</v>
      </c>
      <c r="D418" s="26">
        <f>F418</f>
        <v>0.1194</v>
      </c>
      <c r="E418" s="26">
        <f>F418</f>
        <v>0.1194</v>
      </c>
      <c r="F418" s="26">
        <f>ROUND(0.1194,4)</f>
        <v>0.1194</v>
      </c>
      <c r="G418" s="24"/>
      <c r="H418" s="25"/>
    </row>
    <row r="419" spans="1:8" ht="12.75" customHeight="1">
      <c r="A419" s="23">
        <v>43448</v>
      </c>
      <c r="B419" s="23"/>
      <c r="C419" s="26">
        <f>ROUND(0.120761354813665,4)</f>
        <v>0.1208</v>
      </c>
      <c r="D419" s="26">
        <f>F419</f>
        <v>0.119</v>
      </c>
      <c r="E419" s="26">
        <f>F419</f>
        <v>0.119</v>
      </c>
      <c r="F419" s="26">
        <f>ROUND(0.119,4)</f>
        <v>0.119</v>
      </c>
      <c r="G419" s="24"/>
      <c r="H419" s="25"/>
    </row>
    <row r="420" spans="1:8" ht="12.75" customHeight="1">
      <c r="A420" s="23">
        <v>43542</v>
      </c>
      <c r="B420" s="23"/>
      <c r="C420" s="26">
        <f>ROUND(0.120761354813665,4)</f>
        <v>0.1208</v>
      </c>
      <c r="D420" s="26">
        <f>F420</f>
        <v>0.1186</v>
      </c>
      <c r="E420" s="26">
        <f>F420</f>
        <v>0.1186</v>
      </c>
      <c r="F420" s="26">
        <f>ROUND(0.1186,4)</f>
        <v>0.1186</v>
      </c>
      <c r="G420" s="24"/>
      <c r="H420" s="25"/>
    </row>
    <row r="421" spans="1:8" ht="12.75" customHeight="1">
      <c r="A421" s="23">
        <v>43630</v>
      </c>
      <c r="B421" s="23"/>
      <c r="C421" s="26">
        <f>ROUND(0.120761354813665,4)</f>
        <v>0.1208</v>
      </c>
      <c r="D421" s="26">
        <f>F421</f>
        <v>0.1183</v>
      </c>
      <c r="E421" s="26">
        <f>F421</f>
        <v>0.1183</v>
      </c>
      <c r="F421" s="26">
        <f>ROUND(0.1183,4)</f>
        <v>0.1183</v>
      </c>
      <c r="G421" s="24"/>
      <c r="H421" s="25"/>
    </row>
    <row r="422" spans="1:8" ht="12.75" customHeight="1">
      <c r="A422" s="23">
        <v>43724</v>
      </c>
      <c r="B422" s="23"/>
      <c r="C422" s="26">
        <f>ROUND(0.120761354813665,4)</f>
        <v>0.1208</v>
      </c>
      <c r="D422" s="26">
        <f>F422</f>
        <v>0.1191</v>
      </c>
      <c r="E422" s="26">
        <f>F422</f>
        <v>0.1191</v>
      </c>
      <c r="F422" s="26">
        <f>ROUND(0.1191,4)</f>
        <v>0.1191</v>
      </c>
      <c r="G422" s="24"/>
      <c r="H422" s="25"/>
    </row>
    <row r="423" spans="1:8" ht="12.75" customHeight="1">
      <c r="A423" s="23" t="s">
        <v>79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ROUND(1.55052403743712,4)</f>
        <v>1.5505</v>
      </c>
      <c r="D424" s="26">
        <f>F424</f>
        <v>1.5716</v>
      </c>
      <c r="E424" s="26">
        <f>F424</f>
        <v>1.5716</v>
      </c>
      <c r="F424" s="26">
        <f>ROUND(1.5716,4)</f>
        <v>1.5716</v>
      </c>
      <c r="G424" s="24"/>
      <c r="H424" s="25"/>
    </row>
    <row r="425" spans="1:8" ht="12.75" customHeight="1">
      <c r="A425" s="23">
        <v>43269</v>
      </c>
      <c r="B425" s="23"/>
      <c r="C425" s="26">
        <f>ROUND(1.55052403743712,4)</f>
        <v>1.5505</v>
      </c>
      <c r="D425" s="26">
        <f>F425</f>
        <v>1.5976</v>
      </c>
      <c r="E425" s="26">
        <f>F425</f>
        <v>1.5976</v>
      </c>
      <c r="F425" s="26">
        <f>ROUND(1.5976,4)</f>
        <v>1.5976</v>
      </c>
      <c r="G425" s="24"/>
      <c r="H425" s="25"/>
    </row>
    <row r="426" spans="1:8" ht="12.75" customHeight="1">
      <c r="A426" s="23">
        <v>43360</v>
      </c>
      <c r="B426" s="23"/>
      <c r="C426" s="26">
        <f>ROUND(1.55052403743712,4)</f>
        <v>1.5505</v>
      </c>
      <c r="D426" s="26">
        <f>F426</f>
        <v>1.6235</v>
      </c>
      <c r="E426" s="26">
        <f>F426</f>
        <v>1.6235</v>
      </c>
      <c r="F426" s="26">
        <f>ROUND(1.6235,4)</f>
        <v>1.6235</v>
      </c>
      <c r="G426" s="24"/>
      <c r="H426" s="25"/>
    </row>
    <row r="427" spans="1:8" ht="12.75" customHeight="1">
      <c r="A427" s="23">
        <v>43448</v>
      </c>
      <c r="B427" s="23"/>
      <c r="C427" s="26">
        <f>ROUND(1.55052403743712,4)</f>
        <v>1.5505</v>
      </c>
      <c r="D427" s="26">
        <f>F427</f>
        <v>1.6475</v>
      </c>
      <c r="E427" s="26">
        <f>F427</f>
        <v>1.6475</v>
      </c>
      <c r="F427" s="26">
        <f>ROUND(1.6475,4)</f>
        <v>1.6475</v>
      </c>
      <c r="G427" s="24"/>
      <c r="H427" s="25"/>
    </row>
    <row r="428" spans="1:8" ht="12.75" customHeight="1">
      <c r="A428" s="23">
        <v>43630</v>
      </c>
      <c r="B428" s="23"/>
      <c r="C428" s="26">
        <f>ROUND(1.55052403743712,4)</f>
        <v>1.5505</v>
      </c>
      <c r="D428" s="26">
        <f>F428</f>
        <v>1.7033</v>
      </c>
      <c r="E428" s="26">
        <f>F428</f>
        <v>1.7033</v>
      </c>
      <c r="F428" s="26">
        <v>1.7033</v>
      </c>
      <c r="G428" s="24"/>
      <c r="H428" s="25"/>
    </row>
    <row r="429" spans="1:8" ht="12.75" customHeight="1">
      <c r="A429" s="23">
        <v>43724</v>
      </c>
      <c r="B429" s="23"/>
      <c r="C429" s="26">
        <f>ROUND(1.55052403743712,4)</f>
        <v>1.5505</v>
      </c>
      <c r="D429" s="26">
        <f>F429</f>
        <v>1.7347</v>
      </c>
      <c r="E429" s="26">
        <f>F429</f>
        <v>1.7347</v>
      </c>
      <c r="F429" s="26">
        <v>1.7347</v>
      </c>
      <c r="G429" s="24"/>
      <c r="H429" s="25"/>
    </row>
    <row r="430" spans="1:8" ht="12.75" customHeight="1">
      <c r="A430" s="23">
        <v>43812</v>
      </c>
      <c r="B430" s="23"/>
      <c r="C430" s="26">
        <f>ROUND(1.55052403743712,4)</f>
        <v>1.5505</v>
      </c>
      <c r="D430" s="26">
        <f>F430</f>
        <v>1.7644</v>
      </c>
      <c r="E430" s="26">
        <f>F430</f>
        <v>1.7644</v>
      </c>
      <c r="F430" s="26">
        <f>ROUND(1.7644,4)</f>
        <v>1.7644</v>
      </c>
      <c r="G430" s="24"/>
      <c r="H430" s="25"/>
    </row>
    <row r="431" spans="1:8" ht="12.75" customHeight="1">
      <c r="A431" s="23" t="s">
        <v>80</v>
      </c>
      <c r="B431" s="23"/>
      <c r="C431" s="28"/>
      <c r="D431" s="28"/>
      <c r="E431" s="28"/>
      <c r="F431" s="28"/>
      <c r="G431" s="24"/>
      <c r="H431" s="25"/>
    </row>
    <row r="432" spans="1:8" ht="12.75" customHeight="1">
      <c r="A432" s="23">
        <v>43178</v>
      </c>
      <c r="B432" s="23"/>
      <c r="C432" s="26">
        <f>ROUND(9.00300245625,4)</f>
        <v>9.003</v>
      </c>
      <c r="D432" s="26">
        <f>F432</f>
        <v>9.0808</v>
      </c>
      <c r="E432" s="26">
        <f>F432</f>
        <v>9.0808</v>
      </c>
      <c r="F432" s="26">
        <f>ROUND(9.0808,4)</f>
        <v>9.0808</v>
      </c>
      <c r="G432" s="24"/>
      <c r="H432" s="25"/>
    </row>
    <row r="433" spans="1:8" ht="12.75" customHeight="1">
      <c r="A433" s="23">
        <v>43269</v>
      </c>
      <c r="B433" s="23"/>
      <c r="C433" s="26">
        <f>ROUND(9.00300245625,4)</f>
        <v>9.003</v>
      </c>
      <c r="D433" s="26">
        <f>F433</f>
        <v>9.1935</v>
      </c>
      <c r="E433" s="26">
        <f>F433</f>
        <v>9.1935</v>
      </c>
      <c r="F433" s="26">
        <f>ROUND(9.1935,4)</f>
        <v>9.1935</v>
      </c>
      <c r="G433" s="24"/>
      <c r="H433" s="25"/>
    </row>
    <row r="434" spans="1:8" ht="12.75" customHeight="1">
      <c r="A434" s="23">
        <v>43360</v>
      </c>
      <c r="B434" s="23"/>
      <c r="C434" s="26">
        <f>ROUND(9.00300245625,4)</f>
        <v>9.003</v>
      </c>
      <c r="D434" s="26">
        <f>F434</f>
        <v>9.3071</v>
      </c>
      <c r="E434" s="26">
        <f>F434</f>
        <v>9.3071</v>
      </c>
      <c r="F434" s="26">
        <f>ROUND(9.3071,4)</f>
        <v>9.3071</v>
      </c>
      <c r="G434" s="24"/>
      <c r="H434" s="25"/>
    </row>
    <row r="435" spans="1:8" ht="12.75" customHeight="1">
      <c r="A435" s="23">
        <v>43448</v>
      </c>
      <c r="B435" s="23"/>
      <c r="C435" s="26">
        <f>ROUND(9.00300245625,4)</f>
        <v>9.003</v>
      </c>
      <c r="D435" s="26">
        <f>F435</f>
        <v>9.4148</v>
      </c>
      <c r="E435" s="26">
        <f>F435</f>
        <v>9.4148</v>
      </c>
      <c r="F435" s="26">
        <f>ROUND(9.4148,4)</f>
        <v>9.4148</v>
      </c>
      <c r="G435" s="24"/>
      <c r="H435" s="25"/>
    </row>
    <row r="436" spans="1:8" ht="12.75" customHeight="1">
      <c r="A436" s="23">
        <v>43542</v>
      </c>
      <c r="B436" s="23"/>
      <c r="C436" s="26">
        <f>ROUND(9.00300245625,4)</f>
        <v>9.003</v>
      </c>
      <c r="D436" s="26">
        <f>F436</f>
        <v>9.8897</v>
      </c>
      <c r="E436" s="26">
        <f>F436</f>
        <v>9.8897</v>
      </c>
      <c r="F436" s="26">
        <f>ROUND(9.8897,4)</f>
        <v>9.8897</v>
      </c>
      <c r="G436" s="24"/>
      <c r="H436" s="25"/>
    </row>
    <row r="437" spans="1:8" ht="12.75" customHeight="1">
      <c r="A437" s="23">
        <v>43630</v>
      </c>
      <c r="B437" s="23"/>
      <c r="C437" s="26">
        <f>ROUND(9.00300245625,4)</f>
        <v>9.003</v>
      </c>
      <c r="D437" s="26">
        <f>F437</f>
        <v>10.0262</v>
      </c>
      <c r="E437" s="26">
        <f>F437</f>
        <v>10.0262</v>
      </c>
      <c r="F437" s="26">
        <f>ROUND(10.0262,4)</f>
        <v>10.0262</v>
      </c>
      <c r="G437" s="24"/>
      <c r="H437" s="25"/>
    </row>
    <row r="438" spans="1:8" ht="12.75" customHeight="1">
      <c r="A438" s="23">
        <v>43724</v>
      </c>
      <c r="B438" s="23"/>
      <c r="C438" s="26">
        <f>ROUND(9.00300245625,4)</f>
        <v>9.003</v>
      </c>
      <c r="D438" s="26">
        <f>F438</f>
        <v>10.1616</v>
      </c>
      <c r="E438" s="26">
        <f>F438</f>
        <v>10.1616</v>
      </c>
      <c r="F438" s="26">
        <f>ROUND(10.1616,4)</f>
        <v>10.1616</v>
      </c>
      <c r="G438" s="24"/>
      <c r="H438" s="25"/>
    </row>
    <row r="439" spans="1:8" ht="12.75" customHeight="1">
      <c r="A439" s="23">
        <v>43812</v>
      </c>
      <c r="B439" s="23"/>
      <c r="C439" s="26">
        <f>ROUND(9.00300245625,4)</f>
        <v>9.003</v>
      </c>
      <c r="D439" s="26">
        <f>F439</f>
        <v>10.3065</v>
      </c>
      <c r="E439" s="26">
        <f>F439</f>
        <v>10.3065</v>
      </c>
      <c r="F439" s="26">
        <f>ROUND(10.3065,4)</f>
        <v>10.3065</v>
      </c>
      <c r="G439" s="24"/>
      <c r="H439" s="25"/>
    </row>
    <row r="440" spans="1:8" ht="12.75" customHeight="1">
      <c r="A440" s="23" t="s">
        <v>81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ROUND(9.35245174673802,4)</f>
        <v>9.3525</v>
      </c>
      <c r="D441" s="26">
        <f>F441</f>
        <v>9.4515</v>
      </c>
      <c r="E441" s="26">
        <f>F441</f>
        <v>9.4515</v>
      </c>
      <c r="F441" s="26">
        <f>ROUND(9.4515,4)</f>
        <v>9.4515</v>
      </c>
      <c r="G441" s="24"/>
      <c r="H441" s="25"/>
    </row>
    <row r="442" spans="1:8" ht="12.75" customHeight="1">
      <c r="A442" s="23">
        <v>43269</v>
      </c>
      <c r="B442" s="23"/>
      <c r="C442" s="26">
        <f>ROUND(9.35245174673802,4)</f>
        <v>9.3525</v>
      </c>
      <c r="D442" s="26">
        <f>F442</f>
        <v>9.5925</v>
      </c>
      <c r="E442" s="26">
        <f>F442</f>
        <v>9.5925</v>
      </c>
      <c r="F442" s="26">
        <f>ROUND(9.5925,4)</f>
        <v>9.5925</v>
      </c>
      <c r="G442" s="24"/>
      <c r="H442" s="25"/>
    </row>
    <row r="443" spans="1:8" ht="12.75" customHeight="1">
      <c r="A443" s="23">
        <v>43360</v>
      </c>
      <c r="B443" s="23"/>
      <c r="C443" s="26">
        <f>ROUND(9.35245174673802,4)</f>
        <v>9.3525</v>
      </c>
      <c r="D443" s="26">
        <f>F443</f>
        <v>9.7353</v>
      </c>
      <c r="E443" s="26">
        <f>F443</f>
        <v>9.7353</v>
      </c>
      <c r="F443" s="26">
        <f>ROUND(9.7353,4)</f>
        <v>9.7353</v>
      </c>
      <c r="G443" s="24"/>
      <c r="H443" s="25"/>
    </row>
    <row r="444" spans="1:8" ht="12.75" customHeight="1">
      <c r="A444" s="23">
        <v>43448</v>
      </c>
      <c r="B444" s="23"/>
      <c r="C444" s="26">
        <f>ROUND(9.35245174673802,4)</f>
        <v>9.3525</v>
      </c>
      <c r="D444" s="26">
        <f>F444</f>
        <v>9.8706</v>
      </c>
      <c r="E444" s="26">
        <f>F444</f>
        <v>9.8706</v>
      </c>
      <c r="F444" s="26">
        <f>ROUND(9.8706,4)</f>
        <v>9.8706</v>
      </c>
      <c r="G444" s="24"/>
      <c r="H444" s="25"/>
    </row>
    <row r="445" spans="1:8" ht="12.75" customHeight="1">
      <c r="A445" s="23">
        <v>43542</v>
      </c>
      <c r="B445" s="23"/>
      <c r="C445" s="26">
        <f>ROUND(9.35245174673802,4)</f>
        <v>9.3525</v>
      </c>
      <c r="D445" s="26">
        <f>F445</f>
        <v>10.3944</v>
      </c>
      <c r="E445" s="26">
        <f>F445</f>
        <v>10.3944</v>
      </c>
      <c r="F445" s="26">
        <f>ROUND(10.3944,4)</f>
        <v>10.3944</v>
      </c>
      <c r="G445" s="24"/>
      <c r="H445" s="25"/>
    </row>
    <row r="446" spans="1:8" ht="12.75" customHeight="1">
      <c r="A446" s="23">
        <v>43630</v>
      </c>
      <c r="B446" s="23"/>
      <c r="C446" s="26">
        <f>ROUND(9.35245174673802,4)</f>
        <v>9.3525</v>
      </c>
      <c r="D446" s="26">
        <f>F446</f>
        <v>10.5625</v>
      </c>
      <c r="E446" s="26">
        <f>F446</f>
        <v>10.5625</v>
      </c>
      <c r="F446" s="26">
        <f>ROUND(10.5625,4)</f>
        <v>10.5625</v>
      </c>
      <c r="G446" s="24"/>
      <c r="H446" s="25"/>
    </row>
    <row r="447" spans="1:8" ht="12.75" customHeight="1">
      <c r="A447" s="23">
        <v>43724</v>
      </c>
      <c r="B447" s="23"/>
      <c r="C447" s="26">
        <f>ROUND(9.35245174673802,4)</f>
        <v>9.3525</v>
      </c>
      <c r="D447" s="26">
        <f>F447</f>
        <v>10.7317</v>
      </c>
      <c r="E447" s="26">
        <f>F447</f>
        <v>10.7317</v>
      </c>
      <c r="F447" s="26">
        <f>ROUND(10.7317,4)</f>
        <v>10.7317</v>
      </c>
      <c r="G447" s="24"/>
      <c r="H447" s="25"/>
    </row>
    <row r="448" spans="1:8" ht="12.75" customHeight="1">
      <c r="A448" s="23">
        <v>43812</v>
      </c>
      <c r="B448" s="23"/>
      <c r="C448" s="26">
        <f>ROUND(9.35245174673802,4)</f>
        <v>9.3525</v>
      </c>
      <c r="D448" s="26">
        <f>F448</f>
        <v>10.91</v>
      </c>
      <c r="E448" s="26">
        <f>F448</f>
        <v>10.91</v>
      </c>
      <c r="F448" s="26">
        <f>ROUND(10.91,4)</f>
        <v>10.91</v>
      </c>
      <c r="G448" s="24"/>
      <c r="H448" s="25"/>
    </row>
    <row r="449" spans="1:8" ht="12.75" customHeight="1">
      <c r="A449" s="23" t="s">
        <v>82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ROUND(3.28484784488163,4)</f>
        <v>3.2848</v>
      </c>
      <c r="D450" s="26">
        <f>F450</f>
        <v>3.2545</v>
      </c>
      <c r="E450" s="26">
        <f>F450</f>
        <v>3.2545</v>
      </c>
      <c r="F450" s="26">
        <f>ROUND(3.2545,4)</f>
        <v>3.2545</v>
      </c>
      <c r="G450" s="24"/>
      <c r="H450" s="25"/>
    </row>
    <row r="451" spans="1:8" ht="12.75" customHeight="1">
      <c r="A451" s="23">
        <v>43269</v>
      </c>
      <c r="B451" s="23"/>
      <c r="C451" s="26">
        <f>ROUND(3.28484784488163,4)</f>
        <v>3.2848</v>
      </c>
      <c r="D451" s="26">
        <f>F451</f>
        <v>3.21</v>
      </c>
      <c r="E451" s="26">
        <f>F451</f>
        <v>3.21</v>
      </c>
      <c r="F451" s="26">
        <f>ROUND(3.21,4)</f>
        <v>3.21</v>
      </c>
      <c r="G451" s="24"/>
      <c r="H451" s="25"/>
    </row>
    <row r="452" spans="1:8" ht="12.75" customHeight="1">
      <c r="A452" s="23">
        <v>43360</v>
      </c>
      <c r="B452" s="23"/>
      <c r="C452" s="26">
        <f>ROUND(3.28484784488163,4)</f>
        <v>3.2848</v>
      </c>
      <c r="D452" s="26">
        <f>F452</f>
        <v>3.1612</v>
      </c>
      <c r="E452" s="26">
        <f>F452</f>
        <v>3.1612</v>
      </c>
      <c r="F452" s="26">
        <f>ROUND(3.1612,4)</f>
        <v>3.1612</v>
      </c>
      <c r="G452" s="24"/>
      <c r="H452" s="25"/>
    </row>
    <row r="453" spans="1:8" ht="12.75" customHeight="1">
      <c r="A453" s="23">
        <v>43448</v>
      </c>
      <c r="B453" s="23"/>
      <c r="C453" s="26">
        <f>ROUND(3.28484784488163,4)</f>
        <v>3.2848</v>
      </c>
      <c r="D453" s="26">
        <f>F453</f>
        <v>3.1149</v>
      </c>
      <c r="E453" s="26">
        <f>F453</f>
        <v>3.1149</v>
      </c>
      <c r="F453" s="26">
        <f>ROUND(3.1149,4)</f>
        <v>3.1149</v>
      </c>
      <c r="G453" s="24"/>
      <c r="H453" s="25"/>
    </row>
    <row r="454" spans="1:8" ht="12.75" customHeight="1">
      <c r="A454" s="23">
        <v>43542</v>
      </c>
      <c r="B454" s="23"/>
      <c r="C454" s="26">
        <f>ROUND(3.28484784488163,4)</f>
        <v>3.2848</v>
      </c>
      <c r="D454" s="26">
        <f>F454</f>
        <v>3.1754</v>
      </c>
      <c r="E454" s="26">
        <f>F454</f>
        <v>3.1754</v>
      </c>
      <c r="F454" s="26">
        <f>ROUND(3.1754,4)</f>
        <v>3.1754</v>
      </c>
      <c r="G454" s="24"/>
      <c r="H454" s="25"/>
    </row>
    <row r="455" spans="1:8" ht="12.75" customHeight="1">
      <c r="A455" s="23">
        <v>43630</v>
      </c>
      <c r="B455" s="23"/>
      <c r="C455" s="26">
        <f>ROUND(3.28484784488163,4)</f>
        <v>3.2848</v>
      </c>
      <c r="D455" s="26">
        <f>F455</f>
        <v>3.1324</v>
      </c>
      <c r="E455" s="26">
        <f>F455</f>
        <v>3.1324</v>
      </c>
      <c r="F455" s="26">
        <f>ROUND(3.1324,4)</f>
        <v>3.1324</v>
      </c>
      <c r="G455" s="24"/>
      <c r="H455" s="25"/>
    </row>
    <row r="456" spans="1:8" ht="12.75" customHeight="1">
      <c r="A456" s="23">
        <v>43724</v>
      </c>
      <c r="B456" s="23"/>
      <c r="C456" s="26">
        <f>ROUND(3.28484784488163,4)</f>
        <v>3.2848</v>
      </c>
      <c r="D456" s="26">
        <f>F456</f>
        <v>3.0857</v>
      </c>
      <c r="E456" s="26">
        <f>F456</f>
        <v>3.0857</v>
      </c>
      <c r="F456" s="26">
        <f>ROUND(3.0857,4)</f>
        <v>3.0857</v>
      </c>
      <c r="G456" s="24"/>
      <c r="H456" s="25"/>
    </row>
    <row r="457" spans="1:8" ht="12.75" customHeight="1">
      <c r="A457" s="23">
        <v>43812</v>
      </c>
      <c r="B457" s="23"/>
      <c r="C457" s="26">
        <f>ROUND(3.28484784488163,4)</f>
        <v>3.2848</v>
      </c>
      <c r="D457" s="26">
        <f>F457</f>
        <v>3.0498</v>
      </c>
      <c r="E457" s="26">
        <f>F457</f>
        <v>3.0498</v>
      </c>
      <c r="F457" s="26">
        <f>ROUND(3.0498,4)</f>
        <v>3.0498</v>
      </c>
      <c r="G457" s="24"/>
      <c r="H457" s="25"/>
    </row>
    <row r="458" spans="1:8" ht="12.75" customHeight="1">
      <c r="A458" s="23" t="s">
        <v>83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ROUND(12.44325,4)</f>
        <v>12.4433</v>
      </c>
      <c r="D459" s="26">
        <f>F459</f>
        <v>12.5605</v>
      </c>
      <c r="E459" s="26">
        <f>F459</f>
        <v>12.5605</v>
      </c>
      <c r="F459" s="26">
        <f>ROUND(12.5605,4)</f>
        <v>12.5605</v>
      </c>
      <c r="G459" s="24"/>
      <c r="H459" s="25"/>
    </row>
    <row r="460" spans="1:8" ht="12.75" customHeight="1">
      <c r="A460" s="23">
        <v>43269</v>
      </c>
      <c r="B460" s="23"/>
      <c r="C460" s="26">
        <f>ROUND(12.44325,4)</f>
        <v>12.4433</v>
      </c>
      <c r="D460" s="26">
        <f>F460</f>
        <v>12.7256</v>
      </c>
      <c r="E460" s="26">
        <f>F460</f>
        <v>12.7256</v>
      </c>
      <c r="F460" s="26">
        <f>ROUND(12.7256,4)</f>
        <v>12.7256</v>
      </c>
      <c r="G460" s="24"/>
      <c r="H460" s="25"/>
    </row>
    <row r="461" spans="1:8" ht="12.75" customHeight="1">
      <c r="A461" s="23">
        <v>43360</v>
      </c>
      <c r="B461" s="23"/>
      <c r="C461" s="26">
        <f>ROUND(12.44325,4)</f>
        <v>12.4433</v>
      </c>
      <c r="D461" s="26">
        <f>F461</f>
        <v>12.8879</v>
      </c>
      <c r="E461" s="26">
        <f>F461</f>
        <v>12.8879</v>
      </c>
      <c r="F461" s="26">
        <f>ROUND(12.8879,4)</f>
        <v>12.8879</v>
      </c>
      <c r="G461" s="24"/>
      <c r="H461" s="25"/>
    </row>
    <row r="462" spans="1:8" ht="12.75" customHeight="1">
      <c r="A462" s="23">
        <v>43448</v>
      </c>
      <c r="B462" s="23"/>
      <c r="C462" s="26">
        <f>ROUND(12.44325,4)</f>
        <v>12.4433</v>
      </c>
      <c r="D462" s="26">
        <f>F462</f>
        <v>13.0408</v>
      </c>
      <c r="E462" s="26">
        <f>F462</f>
        <v>13.0408</v>
      </c>
      <c r="F462" s="26">
        <f>ROUND(13.0408,4)</f>
        <v>13.0408</v>
      </c>
      <c r="G462" s="24"/>
      <c r="H462" s="25"/>
    </row>
    <row r="463" spans="1:8" ht="12.75" customHeight="1">
      <c r="A463" s="23">
        <v>43630</v>
      </c>
      <c r="B463" s="23"/>
      <c r="C463" s="26">
        <f>ROUND(12.44325,4)</f>
        <v>12.4433</v>
      </c>
      <c r="D463" s="26">
        <f>F463</f>
        <v>13.3699</v>
      </c>
      <c r="E463" s="26">
        <f>F463</f>
        <v>13.3699</v>
      </c>
      <c r="F463" s="26">
        <v>13.3699</v>
      </c>
      <c r="G463" s="24"/>
      <c r="H463" s="25"/>
    </row>
    <row r="464" spans="1:8" ht="12.75" customHeight="1">
      <c r="A464" s="23">
        <v>43724</v>
      </c>
      <c r="B464" s="23"/>
      <c r="C464" s="26">
        <f>ROUND(12.44325,4)</f>
        <v>12.4433</v>
      </c>
      <c r="D464" s="26">
        <f>F464</f>
        <v>13.5418</v>
      </c>
      <c r="E464" s="26">
        <f>F464</f>
        <v>13.5418</v>
      </c>
      <c r="F464" s="26">
        <v>13.5418</v>
      </c>
      <c r="G464" s="24"/>
      <c r="H464" s="25"/>
    </row>
    <row r="465" spans="1:8" ht="12.75" customHeight="1">
      <c r="A465" s="23">
        <v>43812</v>
      </c>
      <c r="B465" s="23"/>
      <c r="C465" s="26">
        <f>ROUND(12.44325,4)</f>
        <v>12.4433</v>
      </c>
      <c r="D465" s="26">
        <f>F465</f>
        <v>13.7026</v>
      </c>
      <c r="E465" s="26">
        <f>F465</f>
        <v>13.7026</v>
      </c>
      <c r="F465" s="26">
        <v>13.7026</v>
      </c>
      <c r="G465" s="24"/>
      <c r="H465" s="25"/>
    </row>
    <row r="466" spans="1:8" ht="12.75" customHeight="1">
      <c r="A466" s="23" t="s">
        <v>84</v>
      </c>
      <c r="B466" s="23"/>
      <c r="C466" s="28"/>
      <c r="D466" s="28"/>
      <c r="E466" s="28"/>
      <c r="F466" s="28"/>
      <c r="G466" s="24"/>
      <c r="H466" s="25"/>
    </row>
    <row r="467" spans="1:8" ht="12.75" customHeight="1">
      <c r="A467" s="23">
        <v>43178</v>
      </c>
      <c r="B467" s="23"/>
      <c r="C467" s="26">
        <f>ROUND(12.44325,4)</f>
        <v>12.4433</v>
      </c>
      <c r="D467" s="26">
        <f>F467</f>
        <v>12.5605</v>
      </c>
      <c r="E467" s="26">
        <f>F467</f>
        <v>12.5605</v>
      </c>
      <c r="F467" s="26">
        <f>ROUND(12.5605,4)</f>
        <v>12.5605</v>
      </c>
      <c r="G467" s="24"/>
      <c r="H467" s="25"/>
    </row>
    <row r="468" spans="1:8" ht="12.75" customHeight="1">
      <c r="A468" s="23">
        <v>43269</v>
      </c>
      <c r="B468" s="23"/>
      <c r="C468" s="26">
        <f>ROUND(12.44325,4)</f>
        <v>12.4433</v>
      </c>
      <c r="D468" s="26">
        <f>F468</f>
        <v>12.7256</v>
      </c>
      <c r="E468" s="26">
        <f>F468</f>
        <v>12.7256</v>
      </c>
      <c r="F468" s="26">
        <f>ROUND(12.7256,4)</f>
        <v>12.7256</v>
      </c>
      <c r="G468" s="24"/>
      <c r="H468" s="25"/>
    </row>
    <row r="469" spans="1:8" ht="12.75" customHeight="1">
      <c r="A469" s="23">
        <v>43360</v>
      </c>
      <c r="B469" s="23"/>
      <c r="C469" s="26">
        <f>ROUND(12.44325,4)</f>
        <v>12.4433</v>
      </c>
      <c r="D469" s="26">
        <f>F469</f>
        <v>12.8879</v>
      </c>
      <c r="E469" s="26">
        <f>F469</f>
        <v>12.8879</v>
      </c>
      <c r="F469" s="26">
        <f>ROUND(12.8879,4)</f>
        <v>12.8879</v>
      </c>
      <c r="G469" s="24"/>
      <c r="H469" s="25"/>
    </row>
    <row r="470" spans="1:8" ht="12.75" customHeight="1">
      <c r="A470" s="23">
        <v>43448</v>
      </c>
      <c r="B470" s="23"/>
      <c r="C470" s="26">
        <f>ROUND(12.44325,4)</f>
        <v>12.4433</v>
      </c>
      <c r="D470" s="26">
        <f>F470</f>
        <v>13.0408</v>
      </c>
      <c r="E470" s="26">
        <f>F470</f>
        <v>13.0408</v>
      </c>
      <c r="F470" s="26">
        <f>ROUND(13.0408,4)</f>
        <v>13.0408</v>
      </c>
      <c r="G470" s="24"/>
      <c r="H470" s="25"/>
    </row>
    <row r="471" spans="1:8" ht="12.75" customHeight="1">
      <c r="A471" s="23">
        <v>43542</v>
      </c>
      <c r="B471" s="23"/>
      <c r="C471" s="26">
        <f>ROUND(12.44325,4)</f>
        <v>12.4433</v>
      </c>
      <c r="D471" s="26">
        <f>F471</f>
        <v>13.2091</v>
      </c>
      <c r="E471" s="26">
        <f>F471</f>
        <v>13.2091</v>
      </c>
      <c r="F471" s="26">
        <f>ROUND(13.2091,4)</f>
        <v>13.2091</v>
      </c>
      <c r="G471" s="24"/>
      <c r="H471" s="25"/>
    </row>
    <row r="472" spans="1:8" ht="12.75" customHeight="1">
      <c r="A472" s="23">
        <v>43630</v>
      </c>
      <c r="B472" s="23"/>
      <c r="C472" s="26">
        <f>ROUND(12.44325,4)</f>
        <v>12.4433</v>
      </c>
      <c r="D472" s="26">
        <f>F472</f>
        <v>13.3699</v>
      </c>
      <c r="E472" s="26">
        <f>F472</f>
        <v>13.3699</v>
      </c>
      <c r="F472" s="26">
        <f>ROUND(13.3699,4)</f>
        <v>13.3699</v>
      </c>
      <c r="G472" s="24"/>
      <c r="H472" s="25"/>
    </row>
    <row r="473" spans="1:8" ht="12.75" customHeight="1">
      <c r="A473" s="23">
        <v>43724</v>
      </c>
      <c r="B473" s="23"/>
      <c r="C473" s="26">
        <f>ROUND(12.44325,4)</f>
        <v>12.4433</v>
      </c>
      <c r="D473" s="26">
        <f>F473</f>
        <v>13.5418</v>
      </c>
      <c r="E473" s="26">
        <f>F473</f>
        <v>13.5418</v>
      </c>
      <c r="F473" s="26">
        <f>ROUND(13.5418,4)</f>
        <v>13.5418</v>
      </c>
      <c r="G473" s="24"/>
      <c r="H473" s="25"/>
    </row>
    <row r="474" spans="1:8" ht="12.75" customHeight="1">
      <c r="A474" s="23">
        <v>43812</v>
      </c>
      <c r="B474" s="23"/>
      <c r="C474" s="26">
        <f>ROUND(12.44325,4)</f>
        <v>12.4433</v>
      </c>
      <c r="D474" s="26">
        <f>F474</f>
        <v>13.7026</v>
      </c>
      <c r="E474" s="26">
        <f>F474</f>
        <v>13.7026</v>
      </c>
      <c r="F474" s="26">
        <f>ROUND(13.7026,4)</f>
        <v>13.7026</v>
      </c>
      <c r="G474" s="24"/>
      <c r="H474" s="25"/>
    </row>
    <row r="475" spans="1:8" ht="12.75" customHeight="1">
      <c r="A475" s="23">
        <v>43906</v>
      </c>
      <c r="B475" s="23"/>
      <c r="C475" s="26">
        <f>ROUND(12.44325,4)</f>
        <v>12.4433</v>
      </c>
      <c r="D475" s="26">
        <f>F475</f>
        <v>13.8953</v>
      </c>
      <c r="E475" s="26">
        <f>F475</f>
        <v>13.8953</v>
      </c>
      <c r="F475" s="26">
        <f>ROUND(13.8953,4)</f>
        <v>13.8953</v>
      </c>
      <c r="G475" s="24"/>
      <c r="H475" s="25"/>
    </row>
    <row r="476" spans="1:8" ht="12.75" customHeight="1">
      <c r="A476" s="23">
        <v>43994</v>
      </c>
      <c r="B476" s="23"/>
      <c r="C476" s="26">
        <f>ROUND(12.44325,4)</f>
        <v>12.4433</v>
      </c>
      <c r="D476" s="26">
        <f>F476</f>
        <v>14.0869</v>
      </c>
      <c r="E476" s="26">
        <f>F476</f>
        <v>14.0869</v>
      </c>
      <c r="F476" s="26">
        <f>ROUND(14.0869,4)</f>
        <v>14.0869</v>
      </c>
      <c r="G476" s="24"/>
      <c r="H476" s="25"/>
    </row>
    <row r="477" spans="1:8" ht="12.75" customHeight="1">
      <c r="A477" s="23">
        <v>44088</v>
      </c>
      <c r="B477" s="23"/>
      <c r="C477" s="26">
        <f>ROUND(12.44325,4)</f>
        <v>12.4433</v>
      </c>
      <c r="D477" s="26">
        <f>F477</f>
        <v>14.2914</v>
      </c>
      <c r="E477" s="26">
        <f>F477</f>
        <v>14.2914</v>
      </c>
      <c r="F477" s="26">
        <f>ROUND(14.2914,4)</f>
        <v>14.2914</v>
      </c>
      <c r="G477" s="24"/>
      <c r="H477" s="25"/>
    </row>
    <row r="478" spans="1:8" ht="12.75" customHeight="1">
      <c r="A478" s="23">
        <v>44179</v>
      </c>
      <c r="B478" s="23"/>
      <c r="C478" s="26">
        <f>ROUND(12.44325,4)</f>
        <v>12.4433</v>
      </c>
      <c r="D478" s="26">
        <f>F478</f>
        <v>14.4895</v>
      </c>
      <c r="E478" s="26">
        <f>F478</f>
        <v>14.4895</v>
      </c>
      <c r="F478" s="26">
        <f>ROUND(14.4895,4)</f>
        <v>14.4895</v>
      </c>
      <c r="G478" s="24"/>
      <c r="H478" s="25"/>
    </row>
    <row r="479" spans="1:8" ht="12.75" customHeight="1">
      <c r="A479" s="23">
        <v>44270</v>
      </c>
      <c r="B479" s="23"/>
      <c r="C479" s="26">
        <f>ROUND(12.44325,4)</f>
        <v>12.4433</v>
      </c>
      <c r="D479" s="26">
        <f>F479</f>
        <v>14.6875</v>
      </c>
      <c r="E479" s="26">
        <f>F479</f>
        <v>14.6875</v>
      </c>
      <c r="F479" s="26">
        <f>ROUND(14.6875,4)</f>
        <v>14.6875</v>
      </c>
      <c r="G479" s="24"/>
      <c r="H479" s="25"/>
    </row>
    <row r="480" spans="1:8" ht="12.75" customHeight="1">
      <c r="A480" s="23" t="s">
        <v>85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43178</v>
      </c>
      <c r="B481" s="23"/>
      <c r="C481" s="26">
        <f>ROUND(1.26109759805412,4)</f>
        <v>1.2611</v>
      </c>
      <c r="D481" s="26">
        <f>F481</f>
        <v>1.2466</v>
      </c>
      <c r="E481" s="26">
        <f>F481</f>
        <v>1.2466</v>
      </c>
      <c r="F481" s="26">
        <f>ROUND(1.2466,4)</f>
        <v>1.2466</v>
      </c>
      <c r="G481" s="24"/>
      <c r="H481" s="25"/>
    </row>
    <row r="482" spans="1:8" ht="12.75" customHeight="1">
      <c r="A482" s="23">
        <v>43269</v>
      </c>
      <c r="B482" s="23"/>
      <c r="C482" s="26">
        <f>ROUND(1.26109759805412,4)</f>
        <v>1.2611</v>
      </c>
      <c r="D482" s="26">
        <f>F482</f>
        <v>1.2266</v>
      </c>
      <c r="E482" s="26">
        <f>F482</f>
        <v>1.2266</v>
      </c>
      <c r="F482" s="26">
        <f>ROUND(1.2266,4)</f>
        <v>1.2266</v>
      </c>
      <c r="G482" s="24"/>
      <c r="H482" s="25"/>
    </row>
    <row r="483" spans="1:8" ht="12.75" customHeight="1">
      <c r="A483" s="23">
        <v>43360</v>
      </c>
      <c r="B483" s="23"/>
      <c r="C483" s="26">
        <f>ROUND(1.26109759805412,4)</f>
        <v>1.2611</v>
      </c>
      <c r="D483" s="26">
        <f>F483</f>
        <v>1.2077</v>
      </c>
      <c r="E483" s="26">
        <f>F483</f>
        <v>1.2077</v>
      </c>
      <c r="F483" s="26">
        <f>ROUND(1.2077,4)</f>
        <v>1.2077</v>
      </c>
      <c r="G483" s="24"/>
      <c r="H483" s="25"/>
    </row>
    <row r="484" spans="1:8" ht="12.75" customHeight="1">
      <c r="A484" s="23">
        <v>43448</v>
      </c>
      <c r="B484" s="23"/>
      <c r="C484" s="26">
        <f>ROUND(1.26109759805412,4)</f>
        <v>1.2611</v>
      </c>
      <c r="D484" s="26">
        <f>F484</f>
        <v>1.1891</v>
      </c>
      <c r="E484" s="26">
        <f>F484</f>
        <v>1.1891</v>
      </c>
      <c r="F484" s="26">
        <f>ROUND(1.1891,4)</f>
        <v>1.1891</v>
      </c>
      <c r="G484" s="24"/>
      <c r="H484" s="25"/>
    </row>
    <row r="485" spans="1:8" ht="12.75" customHeight="1">
      <c r="A485" s="23">
        <v>43542</v>
      </c>
      <c r="B485" s="23"/>
      <c r="C485" s="26">
        <f>ROUND(1.26109759805412,4)</f>
        <v>1.2611</v>
      </c>
      <c r="D485" s="26">
        <f>F485</f>
        <v>1.1704</v>
      </c>
      <c r="E485" s="26">
        <f>F485</f>
        <v>1.1704</v>
      </c>
      <c r="F485" s="26">
        <f>ROUND(1.1704,4)</f>
        <v>1.1704</v>
      </c>
      <c r="G485" s="24"/>
      <c r="H485" s="25"/>
    </row>
    <row r="486" spans="1:8" ht="12.75" customHeight="1">
      <c r="A486" s="23">
        <v>43630</v>
      </c>
      <c r="B486" s="23"/>
      <c r="C486" s="26">
        <f>ROUND(1.26109759805412,4)</f>
        <v>1.2611</v>
      </c>
      <c r="D486" s="26">
        <f>F486</f>
        <v>1.2164</v>
      </c>
      <c r="E486" s="26">
        <f>F486</f>
        <v>1.2164</v>
      </c>
      <c r="F486" s="26">
        <f>ROUND(1.2164,4)</f>
        <v>1.2164</v>
      </c>
      <c r="G486" s="24"/>
      <c r="H486" s="25"/>
    </row>
    <row r="487" spans="1:8" ht="12.75" customHeight="1">
      <c r="A487" s="23">
        <v>43724</v>
      </c>
      <c r="B487" s="23"/>
      <c r="C487" s="26">
        <f>ROUND(1.26109759805412,4)</f>
        <v>1.2611</v>
      </c>
      <c r="D487" s="26">
        <f>F487</f>
        <v>1.2269</v>
      </c>
      <c r="E487" s="26">
        <f>F487</f>
        <v>1.2269</v>
      </c>
      <c r="F487" s="26">
        <f>ROUND(1.2269,4)</f>
        <v>1.2269</v>
      </c>
      <c r="G487" s="24"/>
      <c r="H487" s="25"/>
    </row>
    <row r="488" spans="1:8" ht="12.75" customHeight="1">
      <c r="A488" s="23" t="s">
        <v>86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43132</v>
      </c>
      <c r="B489" s="23"/>
      <c r="C489" s="29">
        <f>ROUND(643.228,3)</f>
        <v>643.228</v>
      </c>
      <c r="D489" s="29">
        <f>F489</f>
        <v>645.924</v>
      </c>
      <c r="E489" s="29">
        <f>F489</f>
        <v>645.924</v>
      </c>
      <c r="F489" s="29">
        <f>ROUND(645.924,3)</f>
        <v>645.924</v>
      </c>
      <c r="G489" s="24"/>
      <c r="H489" s="25"/>
    </row>
    <row r="490" spans="1:8" ht="12.75" customHeight="1">
      <c r="A490" s="23">
        <v>43223</v>
      </c>
      <c r="B490" s="23"/>
      <c r="C490" s="29">
        <f>ROUND(643.228,3)</f>
        <v>643.228</v>
      </c>
      <c r="D490" s="29">
        <f>F490</f>
        <v>657.995</v>
      </c>
      <c r="E490" s="29">
        <f>F490</f>
        <v>657.995</v>
      </c>
      <c r="F490" s="29">
        <f>ROUND(657.995,3)</f>
        <v>657.995</v>
      </c>
      <c r="G490" s="24"/>
      <c r="H490" s="25"/>
    </row>
    <row r="491" spans="1:8" ht="12.75" customHeight="1">
      <c r="A491" s="23">
        <v>43314</v>
      </c>
      <c r="B491" s="23"/>
      <c r="C491" s="29">
        <f>ROUND(643.228,3)</f>
        <v>643.228</v>
      </c>
      <c r="D491" s="29">
        <f>F491</f>
        <v>670.323</v>
      </c>
      <c r="E491" s="29">
        <f>F491</f>
        <v>670.323</v>
      </c>
      <c r="F491" s="29">
        <f>ROUND(670.323,3)</f>
        <v>670.323</v>
      </c>
      <c r="G491" s="24"/>
      <c r="H491" s="25"/>
    </row>
    <row r="492" spans="1:8" ht="12.75" customHeight="1">
      <c r="A492" s="23">
        <v>43405</v>
      </c>
      <c r="B492" s="23"/>
      <c r="C492" s="29">
        <f>ROUND(643.228,3)</f>
        <v>643.228</v>
      </c>
      <c r="D492" s="29">
        <f>F492</f>
        <v>683.272</v>
      </c>
      <c r="E492" s="29">
        <f>F492</f>
        <v>683.272</v>
      </c>
      <c r="F492" s="29">
        <f>ROUND(683.272,3)</f>
        <v>683.272</v>
      </c>
      <c r="G492" s="24"/>
      <c r="H492" s="25"/>
    </row>
    <row r="493" spans="1:8" ht="12.75" customHeight="1">
      <c r="A493" s="23" t="s">
        <v>87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43132</v>
      </c>
      <c r="B494" s="23"/>
      <c r="C494" s="29">
        <f>ROUND(567.146,3)</f>
        <v>567.146</v>
      </c>
      <c r="D494" s="29">
        <f>F494</f>
        <v>569.523</v>
      </c>
      <c r="E494" s="29">
        <f>F494</f>
        <v>569.523</v>
      </c>
      <c r="F494" s="29">
        <f>ROUND(569.523,3)</f>
        <v>569.523</v>
      </c>
      <c r="G494" s="24"/>
      <c r="H494" s="25"/>
    </row>
    <row r="495" spans="1:8" ht="12.75" customHeight="1">
      <c r="A495" s="23">
        <v>43223</v>
      </c>
      <c r="B495" s="23"/>
      <c r="C495" s="29">
        <f>ROUND(567.146,3)</f>
        <v>567.146</v>
      </c>
      <c r="D495" s="29">
        <f>F495</f>
        <v>580.166</v>
      </c>
      <c r="E495" s="29">
        <f>F495</f>
        <v>580.166</v>
      </c>
      <c r="F495" s="29">
        <f>ROUND(580.166,3)</f>
        <v>580.166</v>
      </c>
      <c r="G495" s="24"/>
      <c r="H495" s="25"/>
    </row>
    <row r="496" spans="1:8" ht="12.75" customHeight="1">
      <c r="A496" s="23">
        <v>43314</v>
      </c>
      <c r="B496" s="23"/>
      <c r="C496" s="29">
        <f>ROUND(567.146,3)</f>
        <v>567.146</v>
      </c>
      <c r="D496" s="29">
        <f>F496</f>
        <v>591.036</v>
      </c>
      <c r="E496" s="29">
        <f>F496</f>
        <v>591.036</v>
      </c>
      <c r="F496" s="29">
        <f>ROUND(591.036,3)</f>
        <v>591.036</v>
      </c>
      <c r="G496" s="24"/>
      <c r="H496" s="25"/>
    </row>
    <row r="497" spans="1:8" ht="12.75" customHeight="1">
      <c r="A497" s="23">
        <v>43405</v>
      </c>
      <c r="B497" s="23"/>
      <c r="C497" s="29">
        <f>ROUND(567.146,3)</f>
        <v>567.146</v>
      </c>
      <c r="D497" s="29">
        <f>F497</f>
        <v>602.454</v>
      </c>
      <c r="E497" s="29">
        <f>F497</f>
        <v>602.454</v>
      </c>
      <c r="F497" s="29">
        <f>ROUND(602.454,3)</f>
        <v>602.454</v>
      </c>
      <c r="G497" s="24"/>
      <c r="H497" s="25"/>
    </row>
    <row r="498" spans="1:8" ht="12.75" customHeight="1">
      <c r="A498" s="23" t="s">
        <v>88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43132</v>
      </c>
      <c r="B499" s="23"/>
      <c r="C499" s="29">
        <f>ROUND(653.641,3)</f>
        <v>653.641</v>
      </c>
      <c r="D499" s="29">
        <f>F499</f>
        <v>656.381</v>
      </c>
      <c r="E499" s="29">
        <f>F499</f>
        <v>656.381</v>
      </c>
      <c r="F499" s="29">
        <f>ROUND(656.381,3)</f>
        <v>656.381</v>
      </c>
      <c r="G499" s="24"/>
      <c r="H499" s="25"/>
    </row>
    <row r="500" spans="1:8" ht="12.75" customHeight="1">
      <c r="A500" s="23">
        <v>43223</v>
      </c>
      <c r="B500" s="23"/>
      <c r="C500" s="29">
        <f>ROUND(653.641,3)</f>
        <v>653.641</v>
      </c>
      <c r="D500" s="29">
        <f>F500</f>
        <v>668.647</v>
      </c>
      <c r="E500" s="29">
        <f>F500</f>
        <v>668.647</v>
      </c>
      <c r="F500" s="29">
        <f>ROUND(668.647,3)</f>
        <v>668.647</v>
      </c>
      <c r="G500" s="24"/>
      <c r="H500" s="25"/>
    </row>
    <row r="501" spans="1:8" ht="12.75" customHeight="1">
      <c r="A501" s="23">
        <v>43314</v>
      </c>
      <c r="B501" s="23"/>
      <c r="C501" s="29">
        <f>ROUND(653.641,3)</f>
        <v>653.641</v>
      </c>
      <c r="D501" s="29">
        <f>F501</f>
        <v>681.175</v>
      </c>
      <c r="E501" s="29">
        <f>F501</f>
        <v>681.175</v>
      </c>
      <c r="F501" s="29">
        <f>ROUND(681.175,3)</f>
        <v>681.175</v>
      </c>
      <c r="G501" s="24"/>
      <c r="H501" s="25"/>
    </row>
    <row r="502" spans="1:8" ht="12.75" customHeight="1">
      <c r="A502" s="23">
        <v>43405</v>
      </c>
      <c r="B502" s="23"/>
      <c r="C502" s="29">
        <f>ROUND(653.641,3)</f>
        <v>653.641</v>
      </c>
      <c r="D502" s="29">
        <f>F502</f>
        <v>694.334</v>
      </c>
      <c r="E502" s="29">
        <f>F502</f>
        <v>694.334</v>
      </c>
      <c r="F502" s="29">
        <f>ROUND(694.334,3)</f>
        <v>694.334</v>
      </c>
      <c r="G502" s="24"/>
      <c r="H502" s="25"/>
    </row>
    <row r="503" spans="1:8" ht="12.75" customHeight="1">
      <c r="A503" s="23" t="s">
        <v>89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43132</v>
      </c>
      <c r="B504" s="23"/>
      <c r="C504" s="29">
        <f>ROUND(590.885,3)</f>
        <v>590.885</v>
      </c>
      <c r="D504" s="29">
        <f>F504</f>
        <v>593.362</v>
      </c>
      <c r="E504" s="29">
        <f>F504</f>
        <v>593.362</v>
      </c>
      <c r="F504" s="29">
        <f>ROUND(593.362,3)</f>
        <v>593.362</v>
      </c>
      <c r="G504" s="24"/>
      <c r="H504" s="25"/>
    </row>
    <row r="505" spans="1:8" ht="12.75" customHeight="1">
      <c r="A505" s="23">
        <v>43223</v>
      </c>
      <c r="B505" s="23"/>
      <c r="C505" s="29">
        <f>ROUND(590.885,3)</f>
        <v>590.885</v>
      </c>
      <c r="D505" s="29">
        <f>F505</f>
        <v>604.45</v>
      </c>
      <c r="E505" s="29">
        <f>F505</f>
        <v>604.45</v>
      </c>
      <c r="F505" s="29">
        <f>ROUND(604.45,3)</f>
        <v>604.45</v>
      </c>
      <c r="G505" s="24"/>
      <c r="H505" s="25"/>
    </row>
    <row r="506" spans="1:8" ht="12.75" customHeight="1">
      <c r="A506" s="23">
        <v>43314</v>
      </c>
      <c r="B506" s="23"/>
      <c r="C506" s="29">
        <f>ROUND(590.885,3)</f>
        <v>590.885</v>
      </c>
      <c r="D506" s="29">
        <f>F506</f>
        <v>615.775</v>
      </c>
      <c r="E506" s="29">
        <f>F506</f>
        <v>615.775</v>
      </c>
      <c r="F506" s="29">
        <f>ROUND(615.775,3)</f>
        <v>615.775</v>
      </c>
      <c r="G506" s="24"/>
      <c r="H506" s="25"/>
    </row>
    <row r="507" spans="1:8" ht="12.75" customHeight="1">
      <c r="A507" s="23">
        <v>43405</v>
      </c>
      <c r="B507" s="23"/>
      <c r="C507" s="29">
        <f>ROUND(590.885,3)</f>
        <v>590.885</v>
      </c>
      <c r="D507" s="29">
        <f>F507</f>
        <v>627.671</v>
      </c>
      <c r="E507" s="29">
        <f>F507</f>
        <v>627.671</v>
      </c>
      <c r="F507" s="29">
        <f>ROUND(627.671,3)</f>
        <v>627.671</v>
      </c>
      <c r="G507" s="24"/>
      <c r="H507" s="25"/>
    </row>
    <row r="508" spans="1:8" ht="12.75" customHeight="1">
      <c r="A508" s="23" t="s">
        <v>90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43132</v>
      </c>
      <c r="B509" s="23"/>
      <c r="C509" s="29">
        <f>ROUND(252.182503147565,3)</f>
        <v>252.183</v>
      </c>
      <c r="D509" s="29">
        <f>F509</f>
        <v>253.241</v>
      </c>
      <c r="E509" s="29">
        <f>F509</f>
        <v>253.241</v>
      </c>
      <c r="F509" s="29">
        <f>ROUND(253.241,3)</f>
        <v>253.241</v>
      </c>
      <c r="G509" s="24"/>
      <c r="H509" s="25"/>
    </row>
    <row r="510" spans="1:8" ht="12.75" customHeight="1">
      <c r="A510" s="23">
        <v>43223</v>
      </c>
      <c r="B510" s="23"/>
      <c r="C510" s="29">
        <f>ROUND(252.182503147565,3)</f>
        <v>252.183</v>
      </c>
      <c r="D510" s="29">
        <f>F510</f>
        <v>257.989</v>
      </c>
      <c r="E510" s="29">
        <f>F510</f>
        <v>257.989</v>
      </c>
      <c r="F510" s="29">
        <f>ROUND(257.989,3)</f>
        <v>257.989</v>
      </c>
      <c r="G510" s="24"/>
      <c r="H510" s="25"/>
    </row>
    <row r="511" spans="1:8" ht="12.75" customHeight="1">
      <c r="A511" s="23">
        <v>43314</v>
      </c>
      <c r="B511" s="23"/>
      <c r="C511" s="29">
        <f>ROUND(252.182503147565,3)</f>
        <v>252.183</v>
      </c>
      <c r="D511" s="29">
        <f>F511</f>
        <v>262.859</v>
      </c>
      <c r="E511" s="29">
        <f>F511</f>
        <v>262.859</v>
      </c>
      <c r="F511" s="29">
        <f>ROUND(262.859,3)</f>
        <v>262.859</v>
      </c>
      <c r="G511" s="24"/>
      <c r="H511" s="25"/>
    </row>
    <row r="512" spans="1:8" ht="12.75" customHeight="1">
      <c r="A512" s="23">
        <v>43405</v>
      </c>
      <c r="B512" s="23"/>
      <c r="C512" s="29">
        <f>ROUND(252.182503147565,3)</f>
        <v>252.183</v>
      </c>
      <c r="D512" s="29">
        <f>F512</f>
        <v>268.016</v>
      </c>
      <c r="E512" s="29">
        <f>F512</f>
        <v>268.016</v>
      </c>
      <c r="F512" s="29">
        <f>ROUND(268.016,3)</f>
        <v>268.016</v>
      </c>
      <c r="G512" s="24"/>
      <c r="H512" s="25"/>
    </row>
    <row r="513" spans="1:8" ht="12.75" customHeight="1">
      <c r="A513" s="23" t="s">
        <v>91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43132</v>
      </c>
      <c r="B514" s="23"/>
      <c r="C514" s="29">
        <f>ROUND(675.731,3)</f>
        <v>675.731</v>
      </c>
      <c r="D514" s="29">
        <f>F514</f>
        <v>724.173</v>
      </c>
      <c r="E514" s="29">
        <f>F514</f>
        <v>724.173</v>
      </c>
      <c r="F514" s="29">
        <f>ROUND(724.173,3)</f>
        <v>724.173</v>
      </c>
      <c r="G514" s="24"/>
      <c r="H514" s="25"/>
    </row>
    <row r="515" spans="1:8" ht="12.75" customHeight="1">
      <c r="A515" s="23" t="s">
        <v>92</v>
      </c>
      <c r="B515" s="23"/>
      <c r="C515" s="28"/>
      <c r="D515" s="28"/>
      <c r="E515" s="28"/>
      <c r="F515" s="28"/>
      <c r="G515" s="24"/>
      <c r="H515" s="25"/>
    </row>
    <row r="516" spans="1:8" ht="12.75" customHeight="1">
      <c r="A516" s="23">
        <v>43178</v>
      </c>
      <c r="B516" s="23"/>
      <c r="C516" s="24">
        <f>ROUND(22393.1376447124,2)</f>
        <v>22393.14</v>
      </c>
      <c r="D516" s="24">
        <f>F516</f>
        <v>22654.01</v>
      </c>
      <c r="E516" s="24">
        <f>F516</f>
        <v>22654.01</v>
      </c>
      <c r="F516" s="24">
        <f>ROUND(22654.01,2)</f>
        <v>22654.01</v>
      </c>
      <c r="G516" s="24"/>
      <c r="H516" s="25"/>
    </row>
    <row r="517" spans="1:8" ht="12.75" customHeight="1">
      <c r="A517" s="23">
        <v>43269</v>
      </c>
      <c r="B517" s="23"/>
      <c r="C517" s="24">
        <f>ROUND(22393.1376447124,2)</f>
        <v>22393.14</v>
      </c>
      <c r="D517" s="24">
        <f>F517</f>
        <v>23006.42</v>
      </c>
      <c r="E517" s="24">
        <f>F517</f>
        <v>23006.42</v>
      </c>
      <c r="F517" s="24">
        <f>ROUND(23006.42,2)</f>
        <v>23006.42</v>
      </c>
      <c r="G517" s="24"/>
      <c r="H517" s="25"/>
    </row>
    <row r="518" spans="1:8" ht="12.75" customHeight="1">
      <c r="A518" s="23">
        <v>43360</v>
      </c>
      <c r="B518" s="23"/>
      <c r="C518" s="24">
        <f>ROUND(22393.1376447124,2)</f>
        <v>22393.14</v>
      </c>
      <c r="D518" s="24">
        <f>F518</f>
        <v>23363</v>
      </c>
      <c r="E518" s="24">
        <f>F518</f>
        <v>23363</v>
      </c>
      <c r="F518" s="24">
        <f>ROUND(23363,2)</f>
        <v>23363</v>
      </c>
      <c r="G518" s="24"/>
      <c r="H518" s="25"/>
    </row>
    <row r="519" spans="1:8" ht="12.75" customHeight="1">
      <c r="A519" s="23" t="s">
        <v>93</v>
      </c>
      <c r="B519" s="23"/>
      <c r="C519" s="28"/>
      <c r="D519" s="28"/>
      <c r="E519" s="28"/>
      <c r="F519" s="28"/>
      <c r="G519" s="24"/>
      <c r="H519" s="25"/>
    </row>
    <row r="520" spans="1:8" ht="12.75" customHeight="1">
      <c r="A520" s="23">
        <v>43117</v>
      </c>
      <c r="B520" s="23"/>
      <c r="C520" s="29">
        <f>ROUND(7.158,3)</f>
        <v>7.158</v>
      </c>
      <c r="D520" s="29">
        <f>ROUND(6.92,3)</f>
        <v>6.92</v>
      </c>
      <c r="E520" s="29">
        <f>ROUND(7.02,3)</f>
        <v>7.02</v>
      </c>
      <c r="F520" s="29">
        <f>ROUND(6.97,3)</f>
        <v>6.97</v>
      </c>
      <c r="G520" s="24"/>
      <c r="H520" s="25"/>
    </row>
    <row r="521" spans="1:8" ht="12.75" customHeight="1">
      <c r="A521" s="23">
        <v>43152</v>
      </c>
      <c r="B521" s="23"/>
      <c r="C521" s="29">
        <f>ROUND(7.158,3)</f>
        <v>7.158</v>
      </c>
      <c r="D521" s="29">
        <f>ROUND(6.85,3)</f>
        <v>6.85</v>
      </c>
      <c r="E521" s="29">
        <f>ROUND(6.95,3)</f>
        <v>6.95</v>
      </c>
      <c r="F521" s="29">
        <f>ROUND(6.9,3)</f>
        <v>6.9</v>
      </c>
      <c r="G521" s="24"/>
      <c r="H521" s="25"/>
    </row>
    <row r="522" spans="1:8" ht="12.75" customHeight="1">
      <c r="A522" s="23">
        <v>43179</v>
      </c>
      <c r="B522" s="23"/>
      <c r="C522" s="29">
        <f>ROUND(7.158,3)</f>
        <v>7.158</v>
      </c>
      <c r="D522" s="29">
        <f>ROUND(6.79,3)</f>
        <v>6.79</v>
      </c>
      <c r="E522" s="29">
        <f>ROUND(6.88,3)</f>
        <v>6.88</v>
      </c>
      <c r="F522" s="29">
        <f>ROUND(6.835,3)</f>
        <v>6.835</v>
      </c>
      <c r="G522" s="24"/>
      <c r="H522" s="25"/>
    </row>
    <row r="523" spans="1:8" ht="12.75" customHeight="1">
      <c r="A523" s="23">
        <v>43208</v>
      </c>
      <c r="B523" s="23"/>
      <c r="C523" s="29">
        <f>ROUND(7.158,3)</f>
        <v>7.158</v>
      </c>
      <c r="D523" s="29">
        <f>ROUND(6.73,3)</f>
        <v>6.73</v>
      </c>
      <c r="E523" s="29">
        <f>ROUND(6.83,3)</f>
        <v>6.83</v>
      </c>
      <c r="F523" s="29">
        <f>ROUND(6.78,3)</f>
        <v>6.78</v>
      </c>
      <c r="G523" s="24"/>
      <c r="H523" s="25"/>
    </row>
    <row r="524" spans="1:8" ht="12.75" customHeight="1">
      <c r="A524" s="23">
        <v>43269</v>
      </c>
      <c r="B524" s="23"/>
      <c r="C524" s="29">
        <f>ROUND(7.158,3)</f>
        <v>7.158</v>
      </c>
      <c r="D524" s="29">
        <f>ROUND(7.51,3)</f>
        <v>7.51</v>
      </c>
      <c r="E524" s="29">
        <f>ROUND(7.41,3)</f>
        <v>7.41</v>
      </c>
      <c r="F524" s="29">
        <f>ROUND(7.46,3)</f>
        <v>7.46</v>
      </c>
      <c r="G524" s="24"/>
      <c r="H524" s="25"/>
    </row>
    <row r="525" spans="1:8" ht="12.75" customHeight="1">
      <c r="A525" s="23">
        <v>43271</v>
      </c>
      <c r="B525" s="23"/>
      <c r="C525" s="29">
        <f>ROUND(7.158,3)</f>
        <v>7.158</v>
      </c>
      <c r="D525" s="29">
        <f>ROUND(6.77,3)</f>
        <v>6.77</v>
      </c>
      <c r="E525" s="29">
        <f>ROUND(6.87,3)</f>
        <v>6.87</v>
      </c>
      <c r="F525" s="29">
        <f>ROUND(6.82,3)</f>
        <v>6.82</v>
      </c>
      <c r="G525" s="24"/>
      <c r="H525" s="25"/>
    </row>
    <row r="526" spans="1:8" ht="12.75" customHeight="1">
      <c r="A526" s="23">
        <v>43362</v>
      </c>
      <c r="B526" s="23"/>
      <c r="C526" s="29">
        <f>ROUND(7.158,3)</f>
        <v>7.158</v>
      </c>
      <c r="D526" s="29">
        <f>ROUND(6.84,3)</f>
        <v>6.84</v>
      </c>
      <c r="E526" s="29">
        <f>ROUND(6.94,3)</f>
        <v>6.94</v>
      </c>
      <c r="F526" s="29">
        <f>ROUND(6.89,3)</f>
        <v>6.89</v>
      </c>
      <c r="G526" s="24"/>
      <c r="H526" s="25"/>
    </row>
    <row r="527" spans="1:8" ht="12.75" customHeight="1">
      <c r="A527" s="23">
        <v>43453</v>
      </c>
      <c r="B527" s="23"/>
      <c r="C527" s="29">
        <f>ROUND(7.158,3)</f>
        <v>7.158</v>
      </c>
      <c r="D527" s="29">
        <f>ROUND(6.91,3)</f>
        <v>6.91</v>
      </c>
      <c r="E527" s="29">
        <f>ROUND(7.01,3)</f>
        <v>7.01</v>
      </c>
      <c r="F527" s="29">
        <f>ROUND(6.96,3)</f>
        <v>6.96</v>
      </c>
      <c r="G527" s="24"/>
      <c r="H527" s="25"/>
    </row>
    <row r="528" spans="1:8" ht="12.75" customHeight="1">
      <c r="A528" s="23">
        <v>43544</v>
      </c>
      <c r="B528" s="23"/>
      <c r="C528" s="29">
        <f>ROUND(7.158,3)</f>
        <v>7.158</v>
      </c>
      <c r="D528" s="29">
        <f>ROUND(6.99,3)</f>
        <v>6.99</v>
      </c>
      <c r="E528" s="29">
        <f>ROUND(7.09,3)</f>
        <v>7.09</v>
      </c>
      <c r="F528" s="29">
        <f>ROUND(7.04,3)</f>
        <v>7.04</v>
      </c>
      <c r="G528" s="24"/>
      <c r="H528" s="25"/>
    </row>
    <row r="529" spans="1:8" ht="12.75" customHeight="1">
      <c r="A529" s="23">
        <v>43635</v>
      </c>
      <c r="B529" s="23"/>
      <c r="C529" s="29">
        <f>ROUND(7.158,3)</f>
        <v>7.158</v>
      </c>
      <c r="D529" s="29">
        <f>ROUND(7.06,3)</f>
        <v>7.06</v>
      </c>
      <c r="E529" s="29">
        <f>ROUND(7.16,3)</f>
        <v>7.16</v>
      </c>
      <c r="F529" s="29">
        <f>ROUND(7.11,3)</f>
        <v>7.11</v>
      </c>
      <c r="G529" s="24"/>
      <c r="H529" s="25"/>
    </row>
    <row r="530" spans="1:8" ht="12.75" customHeight="1">
      <c r="A530" s="23">
        <v>43726</v>
      </c>
      <c r="B530" s="23"/>
      <c r="C530" s="29">
        <f>ROUND(7.158,3)</f>
        <v>7.158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 t="s">
        <v>94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43132</v>
      </c>
      <c r="B532" s="23"/>
      <c r="C532" s="29">
        <f>ROUND(589.438,3)</f>
        <v>589.438</v>
      </c>
      <c r="D532" s="29">
        <f>F532</f>
        <v>591.909</v>
      </c>
      <c r="E532" s="29">
        <f>F532</f>
        <v>591.909</v>
      </c>
      <c r="F532" s="29">
        <f>ROUND(591.909,3)</f>
        <v>591.909</v>
      </c>
      <c r="G532" s="24"/>
      <c r="H532" s="25"/>
    </row>
    <row r="533" spans="1:8" ht="12.75" customHeight="1">
      <c r="A533" s="23">
        <v>43223</v>
      </c>
      <c r="B533" s="23"/>
      <c r="C533" s="29">
        <f>ROUND(589.438,3)</f>
        <v>589.438</v>
      </c>
      <c r="D533" s="29">
        <f>F533</f>
        <v>602.97</v>
      </c>
      <c r="E533" s="29">
        <f>F533</f>
        <v>602.97</v>
      </c>
      <c r="F533" s="29">
        <f>ROUND(602.97,3)</f>
        <v>602.97</v>
      </c>
      <c r="G533" s="24"/>
      <c r="H533" s="25"/>
    </row>
    <row r="534" spans="1:8" ht="12.75" customHeight="1">
      <c r="A534" s="23">
        <v>43314</v>
      </c>
      <c r="B534" s="23"/>
      <c r="C534" s="29">
        <f>ROUND(589.438,3)</f>
        <v>589.438</v>
      </c>
      <c r="D534" s="29">
        <f>F534</f>
        <v>614.267</v>
      </c>
      <c r="E534" s="29">
        <f>F534</f>
        <v>614.267</v>
      </c>
      <c r="F534" s="29">
        <f>ROUND(614.267,3)</f>
        <v>614.267</v>
      </c>
      <c r="G534" s="24"/>
      <c r="H534" s="25"/>
    </row>
    <row r="535" spans="1:8" ht="12.75" customHeight="1">
      <c r="A535" s="23">
        <v>43405</v>
      </c>
      <c r="B535" s="23"/>
      <c r="C535" s="29">
        <f>ROUND(589.438,3)</f>
        <v>589.438</v>
      </c>
      <c r="D535" s="29">
        <f>F535</f>
        <v>626.134</v>
      </c>
      <c r="E535" s="29">
        <f>F535</f>
        <v>626.134</v>
      </c>
      <c r="F535" s="29">
        <f>ROUND(626.134,3)</f>
        <v>626.134</v>
      </c>
      <c r="G535" s="24"/>
      <c r="H535" s="25"/>
    </row>
    <row r="536" spans="1:8" ht="12.75" customHeight="1">
      <c r="A536" s="23" t="s">
        <v>12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43546</v>
      </c>
      <c r="B537" s="23"/>
      <c r="C537" s="24">
        <f>ROUND(99.4430632997441,2)</f>
        <v>99.44</v>
      </c>
      <c r="D537" s="24">
        <f>F537</f>
        <v>99.44</v>
      </c>
      <c r="E537" s="24">
        <f>F537</f>
        <v>99.44</v>
      </c>
      <c r="F537" s="24">
        <f>ROUND(99.4430632997441,2)</f>
        <v>99.44</v>
      </c>
      <c r="G537" s="24"/>
      <c r="H537" s="25"/>
    </row>
    <row r="538" spans="1:8" ht="12.75" customHeight="1">
      <c r="A538" s="23" t="s">
        <v>13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43913</v>
      </c>
      <c r="B539" s="23"/>
      <c r="C539" s="24">
        <f>ROUND(98.6296092054903,2)</f>
        <v>98.63</v>
      </c>
      <c r="D539" s="24">
        <f>F539</f>
        <v>98.63</v>
      </c>
      <c r="E539" s="24">
        <f>F539</f>
        <v>98.63</v>
      </c>
      <c r="F539" s="24">
        <f>ROUND(98.6296092054903,2)</f>
        <v>98.63</v>
      </c>
      <c r="G539" s="24"/>
      <c r="H539" s="25"/>
    </row>
    <row r="540" spans="1:8" ht="12.75" customHeight="1">
      <c r="A540" s="23" t="s">
        <v>14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45007</v>
      </c>
      <c r="B541" s="23"/>
      <c r="C541" s="24">
        <f>ROUND(96.857539308638,2)</f>
        <v>96.86</v>
      </c>
      <c r="D541" s="24">
        <f>F541</f>
        <v>96.86</v>
      </c>
      <c r="E541" s="24">
        <f>F541</f>
        <v>96.86</v>
      </c>
      <c r="F541" s="24">
        <f>ROUND(96.857539308638,2)</f>
        <v>96.86</v>
      </c>
      <c r="G541" s="24"/>
      <c r="H541" s="25"/>
    </row>
    <row r="542" spans="1:8" ht="12.75" customHeight="1">
      <c r="A542" s="23" t="s">
        <v>15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46834</v>
      </c>
      <c r="B543" s="23"/>
      <c r="C543" s="24">
        <f>ROUND(96.7591519745321,2)</f>
        <v>96.76</v>
      </c>
      <c r="D543" s="24">
        <f>F543</f>
        <v>96.76</v>
      </c>
      <c r="E543" s="24">
        <f>F543</f>
        <v>96.76</v>
      </c>
      <c r="F543" s="24">
        <f>ROUND(96.7591519745321,2)</f>
        <v>96.76</v>
      </c>
      <c r="G543" s="24"/>
      <c r="H543" s="25"/>
    </row>
    <row r="544" spans="1:8" ht="12.75" customHeight="1">
      <c r="A544" s="23" t="s">
        <v>95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43174</v>
      </c>
      <c r="B545" s="23"/>
      <c r="C545" s="27">
        <f>ROUND(99.4430632997441,5)</f>
        <v>99.44306</v>
      </c>
      <c r="D545" s="27">
        <f>F545</f>
        <v>99.72455</v>
      </c>
      <c r="E545" s="27">
        <f>F545</f>
        <v>99.72455</v>
      </c>
      <c r="F545" s="27">
        <f>ROUND(99.7245477184251,5)</f>
        <v>99.72455</v>
      </c>
      <c r="G545" s="24"/>
      <c r="H545" s="25"/>
    </row>
    <row r="546" spans="1:8" ht="12.75" customHeight="1">
      <c r="A546" s="23" t="s">
        <v>96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43272</v>
      </c>
      <c r="B547" s="23"/>
      <c r="C547" s="27">
        <f>ROUND(99.4430632997441,5)</f>
        <v>99.44306</v>
      </c>
      <c r="D547" s="27">
        <f>F547</f>
        <v>99.88682</v>
      </c>
      <c r="E547" s="27">
        <f>F547</f>
        <v>99.88682</v>
      </c>
      <c r="F547" s="27">
        <f>ROUND(99.886822877959,5)</f>
        <v>99.88682</v>
      </c>
      <c r="G547" s="24"/>
      <c r="H547" s="25"/>
    </row>
    <row r="548" spans="1:8" ht="12.75" customHeight="1">
      <c r="A548" s="23" t="s">
        <v>97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43363</v>
      </c>
      <c r="B549" s="23"/>
      <c r="C549" s="27">
        <f>ROUND(99.4430632997441,5)</f>
        <v>99.44306</v>
      </c>
      <c r="D549" s="27">
        <f>F549</f>
        <v>100.01473</v>
      </c>
      <c r="E549" s="27">
        <f>F549</f>
        <v>100.01473</v>
      </c>
      <c r="F549" s="27">
        <f>ROUND(100.014728353318,5)</f>
        <v>100.01473</v>
      </c>
      <c r="G549" s="24"/>
      <c r="H549" s="25"/>
    </row>
    <row r="550" spans="1:8" ht="12.75" customHeight="1">
      <c r="A550" s="23" t="s">
        <v>98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43175</v>
      </c>
      <c r="B551" s="23"/>
      <c r="C551" s="27">
        <f>ROUND(98.6296092054903,5)</f>
        <v>98.62961</v>
      </c>
      <c r="D551" s="27">
        <f>F551</f>
        <v>99.00745</v>
      </c>
      <c r="E551" s="27">
        <f>F551</f>
        <v>99.00745</v>
      </c>
      <c r="F551" s="27">
        <f>ROUND(99.0074459308822,5)</f>
        <v>99.00745</v>
      </c>
      <c r="G551" s="24"/>
      <c r="H551" s="25"/>
    </row>
    <row r="552" spans="1:8" ht="12.75" customHeight="1">
      <c r="A552" s="23" t="s">
        <v>99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43266</v>
      </c>
      <c r="B553" s="23"/>
      <c r="C553" s="27">
        <f>ROUND(98.6296092054903,5)</f>
        <v>98.62961</v>
      </c>
      <c r="D553" s="27">
        <f>F553</f>
        <v>98.57914</v>
      </c>
      <c r="E553" s="27">
        <f>F553</f>
        <v>98.57914</v>
      </c>
      <c r="F553" s="27">
        <f>ROUND(98.5791400547209,5)</f>
        <v>98.57914</v>
      </c>
      <c r="G553" s="24"/>
      <c r="H553" s="25"/>
    </row>
    <row r="554" spans="1:8" ht="12.75" customHeight="1">
      <c r="A554" s="23" t="s">
        <v>100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43364</v>
      </c>
      <c r="B555" s="23"/>
      <c r="C555" s="27">
        <f>ROUND(98.6296092054903,5)</f>
        <v>98.62961</v>
      </c>
      <c r="D555" s="27">
        <f>F555</f>
        <v>98.48474</v>
      </c>
      <c r="E555" s="27">
        <f>F555</f>
        <v>98.48474</v>
      </c>
      <c r="F555" s="27">
        <f>ROUND(98.4847393773644,5)</f>
        <v>98.48474</v>
      </c>
      <c r="G555" s="24"/>
      <c r="H555" s="25"/>
    </row>
    <row r="556" spans="1:8" ht="12.75" customHeight="1">
      <c r="A556" s="23" t="s">
        <v>101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43455</v>
      </c>
      <c r="B557" s="23"/>
      <c r="C557" s="24">
        <f>ROUND(98.6296092054903,2)</f>
        <v>98.63</v>
      </c>
      <c r="D557" s="24">
        <f>F557</f>
        <v>98.83</v>
      </c>
      <c r="E557" s="24">
        <f>F557</f>
        <v>98.83</v>
      </c>
      <c r="F557" s="24">
        <f>ROUND(98.8266986803876,2)</f>
        <v>98.83</v>
      </c>
      <c r="G557" s="24"/>
      <c r="H557" s="25"/>
    </row>
    <row r="558" spans="1:8" ht="12.75" customHeight="1">
      <c r="A558" s="23" t="s">
        <v>102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43539</v>
      </c>
      <c r="B559" s="23"/>
      <c r="C559" s="27">
        <f>ROUND(98.6296092054903,5)</f>
        <v>98.62961</v>
      </c>
      <c r="D559" s="27">
        <f>F559</f>
        <v>99.19788</v>
      </c>
      <c r="E559" s="27">
        <f>F559</f>
        <v>99.19788</v>
      </c>
      <c r="F559" s="27">
        <f>ROUND(99.1978793259629,5)</f>
        <v>99.19788</v>
      </c>
      <c r="G559" s="24"/>
      <c r="H559" s="25"/>
    </row>
    <row r="560" spans="1:8" ht="12.75" customHeight="1">
      <c r="A560" s="23" t="s">
        <v>103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43637</v>
      </c>
      <c r="B561" s="23"/>
      <c r="C561" s="27">
        <f>ROUND(98.6296092054903,5)</f>
        <v>98.62961</v>
      </c>
      <c r="D561" s="27">
        <f>F561</f>
        <v>99.55349</v>
      </c>
      <c r="E561" s="27">
        <f>F561</f>
        <v>99.55349</v>
      </c>
      <c r="F561" s="27">
        <f>ROUND(99.5534943955088,5)</f>
        <v>99.55349</v>
      </c>
      <c r="G561" s="24"/>
      <c r="H561" s="25"/>
    </row>
    <row r="562" spans="1:8" ht="12.75" customHeight="1">
      <c r="A562" s="23" t="s">
        <v>104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43728</v>
      </c>
      <c r="B563" s="23"/>
      <c r="C563" s="27">
        <f>ROUND(98.6296092054903,5)</f>
        <v>98.62961</v>
      </c>
      <c r="D563" s="27">
        <f>F563</f>
        <v>99.93473</v>
      </c>
      <c r="E563" s="27">
        <f>F563</f>
        <v>99.93473</v>
      </c>
      <c r="F563" s="27">
        <f>ROUND(99.9347339834702,5)</f>
        <v>99.93473</v>
      </c>
      <c r="G563" s="24"/>
      <c r="H563" s="25"/>
    </row>
    <row r="564" spans="1:8" ht="12.75" customHeight="1">
      <c r="A564" s="23" t="s">
        <v>105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44182</v>
      </c>
      <c r="B565" s="23"/>
      <c r="C565" s="27">
        <f>ROUND(96.857539308638,5)</f>
        <v>96.85754</v>
      </c>
      <c r="D565" s="27">
        <f>F565</f>
        <v>96.14063</v>
      </c>
      <c r="E565" s="27">
        <f>F565</f>
        <v>96.14063</v>
      </c>
      <c r="F565" s="27">
        <f>ROUND(96.1406298624332,5)</f>
        <v>96.14063</v>
      </c>
      <c r="G565" s="24"/>
      <c r="H565" s="25"/>
    </row>
    <row r="566" spans="1:8" ht="12.75" customHeight="1">
      <c r="A566" s="23" t="s">
        <v>106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44271</v>
      </c>
      <c r="B567" s="23"/>
      <c r="C567" s="27">
        <f>ROUND(96.857539308638,5)</f>
        <v>96.85754</v>
      </c>
      <c r="D567" s="27">
        <f>F567</f>
        <v>95.37418</v>
      </c>
      <c r="E567" s="27">
        <f>F567</f>
        <v>95.37418</v>
      </c>
      <c r="F567" s="27">
        <f>ROUND(95.3741814526346,5)</f>
        <v>95.37418</v>
      </c>
      <c r="G567" s="24"/>
      <c r="H567" s="25"/>
    </row>
    <row r="568" spans="1:8" ht="12.75" customHeight="1">
      <c r="A568" s="23" t="s">
        <v>107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44362</v>
      </c>
      <c r="B569" s="23"/>
      <c r="C569" s="27">
        <f>ROUND(96.857539308638,5)</f>
        <v>96.85754</v>
      </c>
      <c r="D569" s="27">
        <f>F569</f>
        <v>94.57582</v>
      </c>
      <c r="E569" s="27">
        <f>F569</f>
        <v>94.57582</v>
      </c>
      <c r="F569" s="27">
        <f>ROUND(94.5758238167346,5)</f>
        <v>94.57582</v>
      </c>
      <c r="G569" s="24"/>
      <c r="H569" s="25"/>
    </row>
    <row r="570" spans="1:8" ht="12.75" customHeight="1">
      <c r="A570" s="23" t="s">
        <v>108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44460</v>
      </c>
      <c r="B571" s="23"/>
      <c r="C571" s="27">
        <f>ROUND(96.857539308638,5)</f>
        <v>96.85754</v>
      </c>
      <c r="D571" s="27">
        <f>F571</f>
        <v>94.75087</v>
      </c>
      <c r="E571" s="27">
        <f>F571</f>
        <v>94.75087</v>
      </c>
      <c r="F571" s="27">
        <f>ROUND(94.7508683956711,5)</f>
        <v>94.75087</v>
      </c>
      <c r="G571" s="24"/>
      <c r="H571" s="25"/>
    </row>
    <row r="572" spans="1:8" ht="12.75" customHeight="1">
      <c r="A572" s="23" t="s">
        <v>109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44551</v>
      </c>
      <c r="B573" s="23"/>
      <c r="C573" s="27">
        <f>ROUND(96.857539308638,5)</f>
        <v>96.85754</v>
      </c>
      <c r="D573" s="27">
        <f>F573</f>
        <v>96.94819</v>
      </c>
      <c r="E573" s="27">
        <f>F573</f>
        <v>96.94819</v>
      </c>
      <c r="F573" s="27">
        <f>ROUND(96.9481901994853,5)</f>
        <v>96.94819</v>
      </c>
      <c r="G573" s="24"/>
      <c r="H573" s="25"/>
    </row>
    <row r="574" spans="1:8" ht="12.75" customHeight="1">
      <c r="A574" s="23" t="s">
        <v>110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44635</v>
      </c>
      <c r="B575" s="23"/>
      <c r="C575" s="27">
        <f>ROUND(96.857539308638,5)</f>
        <v>96.85754</v>
      </c>
      <c r="D575" s="27">
        <f>F575</f>
        <v>97.09156</v>
      </c>
      <c r="E575" s="27">
        <f>F575</f>
        <v>97.09156</v>
      </c>
      <c r="F575" s="27">
        <f>ROUND(97.0915583504013,5)</f>
        <v>97.09156</v>
      </c>
      <c r="G575" s="24"/>
      <c r="H575" s="25"/>
    </row>
    <row r="576" spans="1:8" ht="12.75" customHeight="1">
      <c r="A576" s="23" t="s">
        <v>111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44733</v>
      </c>
      <c r="B577" s="23"/>
      <c r="C577" s="27">
        <f>ROUND(96.857539308638,5)</f>
        <v>96.85754</v>
      </c>
      <c r="D577" s="27">
        <f>F577</f>
        <v>98.28003</v>
      </c>
      <c r="E577" s="27">
        <f>F577</f>
        <v>98.28003</v>
      </c>
      <c r="F577" s="27">
        <f>ROUND(98.2800321958657,5)</f>
        <v>98.28003</v>
      </c>
      <c r="G577" s="24"/>
      <c r="H577" s="25"/>
    </row>
    <row r="578" spans="1:8" ht="12.75" customHeight="1">
      <c r="A578" s="23" t="s">
        <v>112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44824</v>
      </c>
      <c r="B579" s="23"/>
      <c r="C579" s="27">
        <f>ROUND(96.857539308638,5)</f>
        <v>96.85754</v>
      </c>
      <c r="D579" s="27">
        <f>F579</f>
        <v>100.48145</v>
      </c>
      <c r="E579" s="27">
        <f>F579</f>
        <v>100.48145</v>
      </c>
      <c r="F579" s="27">
        <f>ROUND(100.481445254541,5)</f>
        <v>100.48145</v>
      </c>
      <c r="G579" s="24"/>
      <c r="H579" s="25"/>
    </row>
    <row r="580" spans="1:8" ht="12.75" customHeight="1">
      <c r="A580" s="23" t="s">
        <v>113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46008</v>
      </c>
      <c r="B581" s="23"/>
      <c r="C581" s="27">
        <f>ROUND(96.7591519745321,5)</f>
        <v>96.75915</v>
      </c>
      <c r="D581" s="27">
        <f>F581</f>
        <v>95.08076</v>
      </c>
      <c r="E581" s="27">
        <f>F581</f>
        <v>95.08076</v>
      </c>
      <c r="F581" s="27">
        <f>ROUND(95.0807618307699,5)</f>
        <v>95.08076</v>
      </c>
      <c r="G581" s="24"/>
      <c r="H581" s="25"/>
    </row>
    <row r="582" spans="1:8" ht="12.75" customHeight="1">
      <c r="A582" s="23" t="s">
        <v>114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46097</v>
      </c>
      <c r="B583" s="23"/>
      <c r="C583" s="27">
        <f>ROUND(96.7591519745321,5)</f>
        <v>96.75915</v>
      </c>
      <c r="D583" s="27">
        <f>F583</f>
        <v>92.0972</v>
      </c>
      <c r="E583" s="27">
        <f>F583</f>
        <v>92.0972</v>
      </c>
      <c r="F583" s="27">
        <f>ROUND(92.0971953780526,5)</f>
        <v>92.0972</v>
      </c>
      <c r="G583" s="24"/>
      <c r="H583" s="25"/>
    </row>
    <row r="584" spans="1:8" ht="12.75" customHeight="1">
      <c r="A584" s="23" t="s">
        <v>115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46188</v>
      </c>
      <c r="B585" s="23"/>
      <c r="C585" s="27">
        <f>ROUND(96.7591519745321,5)</f>
        <v>96.75915</v>
      </c>
      <c r="D585" s="27">
        <f>F585</f>
        <v>90.85377</v>
      </c>
      <c r="E585" s="27">
        <f>F585</f>
        <v>90.85377</v>
      </c>
      <c r="F585" s="27">
        <f>ROUND(90.853774785206,5)</f>
        <v>90.85377</v>
      </c>
      <c r="G585" s="24"/>
      <c r="H585" s="25"/>
    </row>
    <row r="586" spans="1:8" ht="12.75" customHeight="1">
      <c r="A586" s="23" t="s">
        <v>116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46286</v>
      </c>
      <c r="B587" s="23"/>
      <c r="C587" s="27">
        <f>ROUND(96.7591519745321,5)</f>
        <v>96.75915</v>
      </c>
      <c r="D587" s="27">
        <f>F587</f>
        <v>93.01415</v>
      </c>
      <c r="E587" s="27">
        <f>F587</f>
        <v>93.01415</v>
      </c>
      <c r="F587" s="27">
        <f>ROUND(93.0141549267495,5)</f>
        <v>93.01415</v>
      </c>
      <c r="G587" s="24"/>
      <c r="H587" s="25"/>
    </row>
    <row r="588" spans="1:8" ht="12.75" customHeight="1">
      <c r="A588" s="23" t="s">
        <v>117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46377</v>
      </c>
      <c r="B589" s="23"/>
      <c r="C589" s="27">
        <f>ROUND(96.7591519745321,5)</f>
        <v>96.75915</v>
      </c>
      <c r="D589" s="27">
        <f>F589</f>
        <v>96.79672</v>
      </c>
      <c r="E589" s="27">
        <f>F589</f>
        <v>96.79672</v>
      </c>
      <c r="F589" s="27">
        <f>ROUND(96.7967157989562,5)</f>
        <v>96.79672</v>
      </c>
      <c r="G589" s="24"/>
      <c r="H589" s="25"/>
    </row>
    <row r="590" spans="1:8" ht="12.75" customHeight="1">
      <c r="A590" s="23" t="s">
        <v>118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46461</v>
      </c>
      <c r="B591" s="23"/>
      <c r="C591" s="27">
        <f>ROUND(96.7591519745321,5)</f>
        <v>96.75915</v>
      </c>
      <c r="D591" s="27">
        <f>F591</f>
        <v>95.37683</v>
      </c>
      <c r="E591" s="27">
        <f>F591</f>
        <v>95.37683</v>
      </c>
      <c r="F591" s="27">
        <f>ROUND(95.3768265693196,5)</f>
        <v>95.37683</v>
      </c>
      <c r="G591" s="24"/>
      <c r="H591" s="25"/>
    </row>
    <row r="592" spans="1:8" ht="12.75" customHeight="1">
      <c r="A592" s="23" t="s">
        <v>119</v>
      </c>
      <c r="B592" s="23"/>
      <c r="C592" s="28"/>
      <c r="D592" s="28"/>
      <c r="E592" s="28"/>
      <c r="F592" s="28"/>
      <c r="G592" s="24"/>
      <c r="H592" s="25"/>
    </row>
    <row r="593" spans="1:8" ht="12.75" customHeight="1">
      <c r="A593" s="23">
        <v>46559</v>
      </c>
      <c r="B593" s="23"/>
      <c r="C593" s="27">
        <f>ROUND(96.7591519745321,5)</f>
        <v>96.75915</v>
      </c>
      <c r="D593" s="27">
        <f>F593</f>
        <v>97.436</v>
      </c>
      <c r="E593" s="27">
        <f>F593</f>
        <v>97.436</v>
      </c>
      <c r="F593" s="27">
        <f>ROUND(97.4360032471884,5)</f>
        <v>97.436</v>
      </c>
      <c r="G593" s="24"/>
      <c r="H593" s="25"/>
    </row>
    <row r="594" spans="1:8" ht="12.75" customHeight="1">
      <c r="A594" s="23" t="s">
        <v>120</v>
      </c>
      <c r="B594" s="23"/>
      <c r="C594" s="28"/>
      <c r="D594" s="28"/>
      <c r="E594" s="28"/>
      <c r="F594" s="28"/>
      <c r="G594" s="24"/>
      <c r="H594" s="25"/>
    </row>
    <row r="595" spans="1:8" ht="12.75" customHeight="1" thickBot="1">
      <c r="A595" s="31">
        <v>46650</v>
      </c>
      <c r="B595" s="31"/>
      <c r="C595" s="32">
        <f>ROUND(96.7591519745321,5)</f>
        <v>96.75915</v>
      </c>
      <c r="D595" s="32">
        <f>F595</f>
        <v>101.14829</v>
      </c>
      <c r="E595" s="32">
        <f>F595</f>
        <v>101.14829</v>
      </c>
      <c r="F595" s="32">
        <f>ROUND(101.148286002132,5)</f>
        <v>101.14829</v>
      </c>
      <c r="G595" s="33"/>
      <c r="H595" s="34"/>
    </row>
  </sheetData>
  <sheetProtection/>
  <mergeCells count="594"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2018-01-11T15:49:41Z</dcterms:modified>
  <cp:category/>
  <cp:version/>
  <cp:contentType/>
  <cp:contentStatus/>
</cp:coreProperties>
</file>