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<sst xmlns="http://schemas.openxmlformats.org/spreadsheetml/2006/main" count="124" uniqueCount="120">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</sst>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43529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ROUND(0,2)</f>
        <v>0</v>
      </c>
      <c r="D6" s="26">
        <f>F6</f>
        <v>0</v>
      </c>
      <c r="E6" s="26">
        <f>F6</f>
        <v>0</v>
      </c>
      <c r="F6" s="26">
        <f>ROUND(0,2)</f>
        <v>0</v>
      </c>
      <c r="G6" s="26"/>
      <c r="H6" s="42"/>
    </row>
    <row r="7" spans="1:8" ht="12.75" customHeight="1">
      <c r="A7" s="27">
        <v>43543</v>
      </c>
      <c r="B7" s="28"/>
      <c r="C7" s="26">
        <f>ROUND(0,2)</f>
        <v>0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ROUND(99.8649296806643,2)</f>
        <v>99.86</v>
      </c>
      <c r="D9" s="26">
        <f>F9</f>
        <v>99.58</v>
      </c>
      <c r="E9" s="26">
        <f>F9</f>
        <v>99.58</v>
      </c>
      <c r="F9" s="26">
        <f>ROUND(99.5762835434816,2)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ROUND(99.8649296806643,2)</f>
        <v>99.86</v>
      </c>
      <c r="D10" s="26">
        <f>F10</f>
        <v>102.02</v>
      </c>
      <c r="E10" s="26">
        <f>F10</f>
        <v>102.02</v>
      </c>
      <c r="F10" s="26">
        <f>ROUND(102.015091846484,2)</f>
        <v>102.02</v>
      </c>
      <c r="G10" s="26"/>
      <c r="H10" s="42"/>
    </row>
    <row r="11" spans="1:8" ht="12.75" customHeight="1">
      <c r="A11" s="27">
        <v>43727</v>
      </c>
      <c r="B11" s="28"/>
      <c r="C11" s="26">
        <f>ROUND(99.8649296806643,2)</f>
        <v>99.86</v>
      </c>
      <c r="D11" s="26">
        <f>F11</f>
        <v>99.86</v>
      </c>
      <c r="E11" s="26">
        <f>F11</f>
        <v>99.86</v>
      </c>
      <c r="F11" s="26">
        <f>ROUND(99.8649296806643,2)</f>
        <v>99.86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ROUND(99.2633663835768,2)</f>
        <v>99.26</v>
      </c>
      <c r="D13" s="26">
        <f>F13</f>
        <v>99.33</v>
      </c>
      <c r="E13" s="26">
        <f>F13</f>
        <v>99.33</v>
      </c>
      <c r="F13" s="26">
        <f>ROUND(99.3292611668476,2)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ROUND(99.2633663835768,2)</f>
        <v>99.26</v>
      </c>
      <c r="D14" s="26">
        <f>F14</f>
        <v>99.74</v>
      </c>
      <c r="E14" s="26">
        <f>F14</f>
        <v>99.74</v>
      </c>
      <c r="F14" s="26">
        <f>ROUND(99.7398462374563,2)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ROUND(99.2633663835768,2)</f>
        <v>99.26</v>
      </c>
      <c r="D15" s="26">
        <f>F15</f>
        <v>101.86</v>
      </c>
      <c r="E15" s="26">
        <f>F15</f>
        <v>101.86</v>
      </c>
      <c r="F15" s="26">
        <f>ROUND(101.863005005024,2)</f>
        <v>101.86</v>
      </c>
      <c r="G15" s="26"/>
      <c r="H15" s="42"/>
    </row>
    <row r="16" spans="1:8" ht="12.75" customHeight="1">
      <c r="A16" s="27">
        <v>43819</v>
      </c>
      <c r="B16" s="28"/>
      <c r="C16" s="26">
        <f>ROUND(99.2633663835768,2)</f>
        <v>99.26</v>
      </c>
      <c r="D16" s="26">
        <f>F16</f>
        <v>102.79</v>
      </c>
      <c r="E16" s="26">
        <f>F16</f>
        <v>102.79</v>
      </c>
      <c r="F16" s="26">
        <f>ROUND(102.789703283534,2)</f>
        <v>102.79</v>
      </c>
      <c r="G16" s="26"/>
      <c r="H16" s="42"/>
    </row>
    <row r="17" spans="1:8" ht="12.75" customHeight="1">
      <c r="A17" s="27">
        <v>43913</v>
      </c>
      <c r="B17" s="28"/>
      <c r="C17" s="26">
        <f>ROUND(99.2633663835768,2)</f>
        <v>99.26</v>
      </c>
      <c r="D17" s="26">
        <f>F17</f>
        <v>98.77</v>
      </c>
      <c r="E17" s="26">
        <f>F17</f>
        <v>98.77</v>
      </c>
      <c r="F17" s="26">
        <f>ROUND(98.7687918190917,2)</f>
        <v>98.77</v>
      </c>
      <c r="G17" s="26"/>
      <c r="H17" s="42"/>
    </row>
    <row r="18" spans="1:8" ht="12.75" customHeight="1">
      <c r="A18" s="27">
        <v>44004</v>
      </c>
      <c r="B18" s="28"/>
      <c r="C18" s="26">
        <f>ROUND(99.2633663835768,2)</f>
        <v>99.26</v>
      </c>
      <c r="D18" s="26">
        <f>F18</f>
        <v>102.31</v>
      </c>
      <c r="E18" s="26">
        <f>F18</f>
        <v>102.31</v>
      </c>
      <c r="F18" s="26">
        <f>ROUND(102.310879524252,2)</f>
        <v>102.31</v>
      </c>
      <c r="G18" s="26"/>
      <c r="H18" s="42"/>
    </row>
    <row r="19" spans="1:8" ht="12.75" customHeight="1">
      <c r="A19" s="27">
        <v>44095</v>
      </c>
      <c r="B19" s="28"/>
      <c r="C19" s="26">
        <f>ROUND(99.2633663835768,2)</f>
        <v>99.26</v>
      </c>
      <c r="D19" s="26">
        <f>F19</f>
        <v>99.26</v>
      </c>
      <c r="E19" s="26">
        <f>F19</f>
        <v>99.26</v>
      </c>
      <c r="F19" s="26">
        <f>ROUND(99.2633663835768,2)</f>
        <v>99.26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ROUND(97.3288412966072,2)</f>
        <v>97.33</v>
      </c>
      <c r="D21" s="26">
        <f>F21</f>
        <v>96.01</v>
      </c>
      <c r="E21" s="26">
        <f>F21</f>
        <v>96.01</v>
      </c>
      <c r="F21" s="26">
        <f>ROUND(96.0128291924021,2)</f>
        <v>96.01</v>
      </c>
      <c r="G21" s="26"/>
      <c r="H21" s="42"/>
    </row>
    <row r="22" spans="1:8" ht="12.75" customHeight="1">
      <c r="A22" s="27">
        <v>44271</v>
      </c>
      <c r="B22" s="28"/>
      <c r="C22" s="26">
        <f>ROUND(97.3288412966072,2)</f>
        <v>97.33</v>
      </c>
      <c r="D22" s="26">
        <f>F22</f>
        <v>95.13</v>
      </c>
      <c r="E22" s="26">
        <f>F22</f>
        <v>95.13</v>
      </c>
      <c r="F22" s="26">
        <f>ROUND(95.1286095163494,2)</f>
        <v>95.13</v>
      </c>
      <c r="G22" s="26"/>
      <c r="H22" s="42"/>
    </row>
    <row r="23" spans="1:8" ht="12.75" customHeight="1">
      <c r="A23" s="27">
        <v>44362</v>
      </c>
      <c r="B23" s="28"/>
      <c r="C23" s="26">
        <f>ROUND(97.3288412966072,2)</f>
        <v>97.33</v>
      </c>
      <c r="D23" s="26">
        <f>F23</f>
        <v>94.21</v>
      </c>
      <c r="E23" s="26">
        <f>F23</f>
        <v>94.21</v>
      </c>
      <c r="F23" s="26">
        <f>ROUND(94.2119115218578,2)</f>
        <v>94.21</v>
      </c>
      <c r="G23" s="26"/>
      <c r="H23" s="42"/>
    </row>
    <row r="24" spans="1:8" ht="12.75" customHeight="1">
      <c r="A24" s="27">
        <v>44460</v>
      </c>
      <c r="B24" s="28"/>
      <c r="C24" s="26">
        <f>ROUND(97.3288412966072,2)</f>
        <v>97.33</v>
      </c>
      <c r="D24" s="26">
        <f>F24</f>
        <v>94.28</v>
      </c>
      <c r="E24" s="26">
        <f>F24</f>
        <v>94.28</v>
      </c>
      <c r="F24" s="26">
        <f>ROUND(94.2767844517237,2)</f>
        <v>94.28</v>
      </c>
      <c r="G24" s="26"/>
      <c r="H24" s="42"/>
    </row>
    <row r="25" spans="1:8" ht="12.75" customHeight="1">
      <c r="A25" s="27">
        <v>44551</v>
      </c>
      <c r="B25" s="28"/>
      <c r="C25" s="26">
        <f>ROUND(97.3288412966072,2)</f>
        <v>97.33</v>
      </c>
      <c r="D25" s="26">
        <f>F25</f>
        <v>96.39</v>
      </c>
      <c r="E25" s="26">
        <f>F25</f>
        <v>96.39</v>
      </c>
      <c r="F25" s="26">
        <f>ROUND(96.3878312250146,2)</f>
        <v>96.39</v>
      </c>
      <c r="G25" s="26"/>
      <c r="H25" s="42"/>
    </row>
    <row r="26" spans="1:8" ht="12.75" customHeight="1">
      <c r="A26" s="27">
        <v>44635</v>
      </c>
      <c r="B26" s="28"/>
      <c r="C26" s="26">
        <f>ROUND(97.3288412966072,2)</f>
        <v>97.33</v>
      </c>
      <c r="D26" s="26">
        <f>F26</f>
        <v>96.45</v>
      </c>
      <c r="E26" s="26">
        <f>F26</f>
        <v>96.45</v>
      </c>
      <c r="F26" s="26">
        <f>ROUND(96.4471766651731,2)</f>
        <v>96.45</v>
      </c>
      <c r="G26" s="26"/>
      <c r="H26" s="42"/>
    </row>
    <row r="27" spans="1:8" ht="12.75" customHeight="1">
      <c r="A27" s="27">
        <v>44733</v>
      </c>
      <c r="B27" s="28"/>
      <c r="C27" s="26">
        <f>ROUND(97.3288412966072,2)</f>
        <v>97.33</v>
      </c>
      <c r="D27" s="26">
        <f>F27</f>
        <v>97.56</v>
      </c>
      <c r="E27" s="26">
        <f>F27</f>
        <v>97.56</v>
      </c>
      <c r="F27" s="26">
        <f>ROUND(97.5581187719165,2)</f>
        <v>97.56</v>
      </c>
      <c r="G27" s="26"/>
      <c r="H27" s="42"/>
    </row>
    <row r="28" spans="1:8" ht="12.75" customHeight="1">
      <c r="A28" s="27">
        <v>44824</v>
      </c>
      <c r="B28" s="28"/>
      <c r="C28" s="26">
        <f>ROUND(97.3288412966072,2)</f>
        <v>97.33</v>
      </c>
      <c r="D28" s="26">
        <f>F28</f>
        <v>101.42</v>
      </c>
      <c r="E28" s="26">
        <f>F28</f>
        <v>101.42</v>
      </c>
      <c r="F28" s="26">
        <f>ROUND(101.424745583988,2)</f>
        <v>101.42</v>
      </c>
      <c r="G28" s="26"/>
      <c r="H28" s="42"/>
    </row>
    <row r="29" spans="1:8" ht="12.75" customHeight="1">
      <c r="A29" s="27">
        <v>44915</v>
      </c>
      <c r="B29" s="28"/>
      <c r="C29" s="26">
        <f>ROUND(97.3288412966072,2)</f>
        <v>97.33</v>
      </c>
      <c r="D29" s="26">
        <f>F29</f>
        <v>102.62</v>
      </c>
      <c r="E29" s="26">
        <f>F29</f>
        <v>102.62</v>
      </c>
      <c r="F29" s="26">
        <f>ROUND(102.615732942135,2)</f>
        <v>102.62</v>
      </c>
      <c r="G29" s="26"/>
      <c r="H29" s="42"/>
    </row>
    <row r="30" spans="1:8" ht="12.75" customHeight="1">
      <c r="A30" s="27">
        <v>45007</v>
      </c>
      <c r="B30" s="28"/>
      <c r="C30" s="26">
        <f>ROUND(97.3288412966072,2)</f>
        <v>97.33</v>
      </c>
      <c r="D30" s="26">
        <f>F30</f>
        <v>95.9</v>
      </c>
      <c r="E30" s="26">
        <f>F30</f>
        <v>95.9</v>
      </c>
      <c r="F30" s="26">
        <f>ROUND(95.8964296494409,2)</f>
        <v>95.9</v>
      </c>
      <c r="G30" s="26"/>
      <c r="H30" s="42"/>
    </row>
    <row r="31" spans="1:8" ht="12.75" customHeight="1">
      <c r="A31" s="27">
        <v>45097</v>
      </c>
      <c r="B31" s="28"/>
      <c r="C31" s="26">
        <f>ROUND(97.3288412966072,2)</f>
        <v>97.33</v>
      </c>
      <c r="D31" s="26">
        <f>F31</f>
        <v>101.91</v>
      </c>
      <c r="E31" s="26">
        <f>F31</f>
        <v>101.91</v>
      </c>
      <c r="F31" s="26">
        <f>ROUND(101.906037029303,2)</f>
        <v>101.91</v>
      </c>
      <c r="G31" s="26"/>
      <c r="H31" s="42"/>
    </row>
    <row r="32" spans="1:8" ht="12.75" customHeight="1">
      <c r="A32" s="27">
        <v>45188</v>
      </c>
      <c r="B32" s="28"/>
      <c r="C32" s="26">
        <f>ROUND(97.3288412966072,2)</f>
        <v>97.33</v>
      </c>
      <c r="D32" s="26">
        <f>F32</f>
        <v>97.33</v>
      </c>
      <c r="E32" s="26">
        <f>F32</f>
        <v>97.33</v>
      </c>
      <c r="F32" s="26">
        <f>ROUND(97.3288412966072,2)</f>
        <v>97.33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ROUND(95.9137507136801,2)</f>
        <v>95.91</v>
      </c>
      <c r="D34" s="26">
        <f>F34</f>
        <v>93.6</v>
      </c>
      <c r="E34" s="26">
        <f>F34</f>
        <v>93.6</v>
      </c>
      <c r="F34" s="26">
        <f>ROUND(93.6011551387717,2)</f>
        <v>93.6</v>
      </c>
      <c r="G34" s="26"/>
      <c r="H34" s="42"/>
    </row>
    <row r="35" spans="1:8" ht="12.75" customHeight="1">
      <c r="A35" s="27">
        <v>46097</v>
      </c>
      <c r="B35" s="28"/>
      <c r="C35" s="26">
        <f>ROUND(95.9137507136801,2)</f>
        <v>95.91</v>
      </c>
      <c r="D35" s="26">
        <f>F35</f>
        <v>90.55</v>
      </c>
      <c r="E35" s="26">
        <f>F35</f>
        <v>90.55</v>
      </c>
      <c r="F35" s="26">
        <f>ROUND(90.5522718781997,2)</f>
        <v>90.55</v>
      </c>
      <c r="G35" s="26"/>
      <c r="H35" s="42"/>
    </row>
    <row r="36" spans="1:8" ht="12.75" customHeight="1">
      <c r="A36" s="27">
        <v>46188</v>
      </c>
      <c r="B36" s="28"/>
      <c r="C36" s="26">
        <f>ROUND(95.9137507136801,2)</f>
        <v>95.91</v>
      </c>
      <c r="D36" s="26">
        <f>F36</f>
        <v>89.26</v>
      </c>
      <c r="E36" s="26">
        <f>F36</f>
        <v>89.26</v>
      </c>
      <c r="F36" s="26">
        <f>ROUND(89.2621230166444,2)</f>
        <v>89.26</v>
      </c>
      <c r="G36" s="26"/>
      <c r="H36" s="42"/>
    </row>
    <row r="37" spans="1:8" ht="12.75" customHeight="1">
      <c r="A37" s="27">
        <v>46286</v>
      </c>
      <c r="B37" s="28"/>
      <c r="C37" s="26">
        <f>ROUND(95.9137507136801,2)</f>
        <v>95.91</v>
      </c>
      <c r="D37" s="26">
        <f>F37</f>
        <v>91.43</v>
      </c>
      <c r="E37" s="26">
        <f>F37</f>
        <v>91.43</v>
      </c>
      <c r="F37" s="26">
        <f>ROUND(91.428047892889,2)</f>
        <v>91.43</v>
      </c>
      <c r="G37" s="26"/>
      <c r="H37" s="42"/>
    </row>
    <row r="38" spans="1:8" ht="12.75" customHeight="1">
      <c r="A38" s="27">
        <v>46377</v>
      </c>
      <c r="B38" s="28"/>
      <c r="C38" s="26">
        <f>ROUND(95.9137507136801,2)</f>
        <v>95.91</v>
      </c>
      <c r="D38" s="26">
        <f>F38</f>
        <v>95.25</v>
      </c>
      <c r="E38" s="26">
        <f>F38</f>
        <v>95.25</v>
      </c>
      <c r="F38" s="26">
        <f>ROUND(95.2457776653154,2)</f>
        <v>95.25</v>
      </c>
      <c r="G38" s="26"/>
      <c r="H38" s="42"/>
    </row>
    <row r="39" spans="1:8" ht="12.75" customHeight="1">
      <c r="A39" s="27">
        <v>46461</v>
      </c>
      <c r="B39" s="28"/>
      <c r="C39" s="26">
        <f>ROUND(95.9137507136801,2)</f>
        <v>95.91</v>
      </c>
      <c r="D39" s="26">
        <f>F39</f>
        <v>93.8</v>
      </c>
      <c r="E39" s="26">
        <f>F39</f>
        <v>93.8</v>
      </c>
      <c r="F39" s="26">
        <f>ROUND(93.7960641275511,2)</f>
        <v>93.8</v>
      </c>
      <c r="G39" s="26"/>
      <c r="H39" s="42"/>
    </row>
    <row r="40" spans="1:8" ht="12.75" customHeight="1">
      <c r="A40" s="27">
        <v>46559</v>
      </c>
      <c r="B40" s="28"/>
      <c r="C40" s="26">
        <f>ROUND(95.9137507136801,2)</f>
        <v>95.91</v>
      </c>
      <c r="D40" s="26">
        <f>F40</f>
        <v>95.88</v>
      </c>
      <c r="E40" s="26">
        <f>F40</f>
        <v>95.88</v>
      </c>
      <c r="F40" s="26">
        <f>ROUND(95.8797580965171,2)</f>
        <v>95.88</v>
      </c>
      <c r="G40" s="26"/>
      <c r="H40" s="42"/>
    </row>
    <row r="41" spans="1:8" ht="12.75" customHeight="1">
      <c r="A41" s="27">
        <v>46650</v>
      </c>
      <c r="B41" s="28"/>
      <c r="C41" s="26">
        <f>ROUND(95.9137507136801,2)</f>
        <v>95.91</v>
      </c>
      <c r="D41" s="26">
        <f>F41</f>
        <v>101.37</v>
      </c>
      <c r="E41" s="26">
        <f>F41</f>
        <v>101.37</v>
      </c>
      <c r="F41" s="26">
        <f>ROUND(101.368401160295,2)</f>
        <v>101.37</v>
      </c>
      <c r="G41" s="26"/>
      <c r="H41" s="42"/>
    </row>
    <row r="42" spans="1:8" ht="12.75" customHeight="1">
      <c r="A42" s="27">
        <v>46741</v>
      </c>
      <c r="B42" s="28"/>
      <c r="C42" s="26">
        <f>ROUND(95.9137507136801,2)</f>
        <v>95.91</v>
      </c>
      <c r="D42" s="26">
        <f>F42</f>
        <v>101.72</v>
      </c>
      <c r="E42" s="26">
        <f>F42</f>
        <v>101.72</v>
      </c>
      <c r="F42" s="26">
        <f>ROUND(101.722805374709,2)</f>
        <v>101.72</v>
      </c>
      <c r="G42" s="26"/>
      <c r="H42" s="42"/>
    </row>
    <row r="43" spans="1:8" ht="12.75" customHeight="1">
      <c r="A43" s="27">
        <v>46834</v>
      </c>
      <c r="B43" s="28"/>
      <c r="C43" s="26">
        <f>ROUND(95.9137507136801,2)</f>
        <v>95.91</v>
      </c>
      <c r="D43" s="26">
        <f>F43</f>
        <v>95.17</v>
      </c>
      <c r="E43" s="26">
        <f>F43</f>
        <v>95.17</v>
      </c>
      <c r="F43" s="26">
        <f>ROUND(95.1749026687652,2)</f>
        <v>95.17</v>
      </c>
      <c r="G43" s="26"/>
      <c r="H43" s="42"/>
    </row>
    <row r="44" spans="1:8" ht="12.75" customHeight="1">
      <c r="A44" s="27">
        <v>46924</v>
      </c>
      <c r="B44" s="28"/>
      <c r="C44" s="26">
        <f>ROUND(95.9137507136801,2)</f>
        <v>95.91</v>
      </c>
      <c r="D44" s="26">
        <f>F44</f>
        <v>102.41</v>
      </c>
      <c r="E44" s="26">
        <f>F44</f>
        <v>102.41</v>
      </c>
      <c r="F44" s="26">
        <f>ROUND(102.412706164448,2)</f>
        <v>102.41</v>
      </c>
      <c r="G44" s="26"/>
      <c r="H44" s="42"/>
    </row>
    <row r="45" spans="1:8" ht="12.75" customHeight="1">
      <c r="A45" s="27">
        <v>47015</v>
      </c>
      <c r="B45" s="28"/>
      <c r="C45" s="26">
        <f>ROUND(95.9137507136801,2)</f>
        <v>95.91</v>
      </c>
      <c r="D45" s="26">
        <f>F45</f>
        <v>95.91</v>
      </c>
      <c r="E45" s="26">
        <f>F45</f>
        <v>95.91</v>
      </c>
      <c r="F45" s="26">
        <f>ROUND(95.9137507136801,2)</f>
        <v>95.91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ROUND(3.17,5)</f>
        <v>3.17</v>
      </c>
      <c r="D47" s="30">
        <f>F47</f>
        <v>3.17</v>
      </c>
      <c r="E47" s="30">
        <f>F47</f>
        <v>3.17</v>
      </c>
      <c r="F47" s="30">
        <f>ROUND(3.17,5)</f>
        <v>3.17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ROUND(3.275,5)</f>
        <v>3.275</v>
      </c>
      <c r="D49" s="30">
        <f>F49</f>
        <v>3.275</v>
      </c>
      <c r="E49" s="30">
        <f>F49</f>
        <v>3.275</v>
      </c>
      <c r="F49" s="30">
        <f>ROUND(3.275,5)</f>
        <v>3.275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ROUND(3.3,5)</f>
        <v>3.3</v>
      </c>
      <c r="D51" s="30">
        <f>F51</f>
        <v>3.3</v>
      </c>
      <c r="E51" s="30">
        <f>F51</f>
        <v>3.3</v>
      </c>
      <c r="F51" s="30">
        <f>ROUND(3.3,5)</f>
        <v>3.3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ROUND(4.02,5)</f>
        <v>4.02</v>
      </c>
      <c r="D53" s="30">
        <f>F53</f>
        <v>4.02</v>
      </c>
      <c r="E53" s="30">
        <f>F53</f>
        <v>4.02</v>
      </c>
      <c r="F53" s="30">
        <f>ROUND(4.02,5)</f>
        <v>4.02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ROUND(10.83,5)</f>
        <v>10.83</v>
      </c>
      <c r="D55" s="30">
        <f>F55</f>
        <v>10.83</v>
      </c>
      <c r="E55" s="30">
        <f>F55</f>
        <v>10.83</v>
      </c>
      <c r="F55" s="30">
        <f>ROUND(10.83,5)</f>
        <v>10.83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ROUND(7.79,5)</f>
        <v>7.79</v>
      </c>
      <c r="D57" s="30">
        <f>F57</f>
        <v>7.79</v>
      </c>
      <c r="E57" s="30">
        <f>F57</f>
        <v>7.79</v>
      </c>
      <c r="F57" s="30">
        <f>ROUND(7.79,5)</f>
        <v>7.79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ROUND(8.65,3)</f>
        <v>8.65</v>
      </c>
      <c r="D59" s="31">
        <f>F59</f>
        <v>8.65</v>
      </c>
      <c r="E59" s="31">
        <f>F59</f>
        <v>8.65</v>
      </c>
      <c r="F59" s="31">
        <f>ROUND(8.65,3)</f>
        <v>8.65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ROUND(3,3)</f>
        <v>3</v>
      </c>
      <c r="D61" s="31">
        <f>F61</f>
        <v>3</v>
      </c>
      <c r="E61" s="31">
        <f>F61</f>
        <v>3</v>
      </c>
      <c r="F61" s="31">
        <f>ROUND(3,3)</f>
        <v>3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ROUND(3.275,3)</f>
        <v>3.275</v>
      </c>
      <c r="D63" s="31">
        <f>F63</f>
        <v>3.275</v>
      </c>
      <c r="E63" s="31">
        <f>F63</f>
        <v>3.275</v>
      </c>
      <c r="F63" s="31">
        <f>ROUND(3.275,3)</f>
        <v>3.275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ROUND(6.505,3)</f>
        <v>6.505</v>
      </c>
      <c r="D65" s="31">
        <f>F65</f>
        <v>6.505</v>
      </c>
      <c r="E65" s="31">
        <f>F65</f>
        <v>6.505</v>
      </c>
      <c r="F65" s="31">
        <f>ROUND(6.505,3)</f>
        <v>6.505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ROUND(7.035,3)</f>
        <v>7.035</v>
      </c>
      <c r="D67" s="31">
        <f>F67</f>
        <v>7.035</v>
      </c>
      <c r="E67" s="31">
        <f>F67</f>
        <v>7.035</v>
      </c>
      <c r="F67" s="31">
        <f>ROUND(7.035,3)</f>
        <v>7.035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ROUND(9.53,3)</f>
        <v>9.53</v>
      </c>
      <c r="D69" s="31">
        <f>F69</f>
        <v>9.53</v>
      </c>
      <c r="E69" s="31">
        <f>F69</f>
        <v>9.53</v>
      </c>
      <c r="F69" s="31">
        <f>ROUND(9.53,3)</f>
        <v>9.53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ROUND(3.24,3)</f>
        <v>3.24</v>
      </c>
      <c r="D71" s="31">
        <f>F71</f>
        <v>3.24</v>
      </c>
      <c r="E71" s="31">
        <f>F71</f>
        <v>3.24</v>
      </c>
      <c r="F71" s="31">
        <f>ROUND(3.24,3)</f>
        <v>3.24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ROUND(3,3)</f>
        <v>3</v>
      </c>
      <c r="D73" s="31">
        <f>F73</f>
        <v>3</v>
      </c>
      <c r="E73" s="31">
        <f>F73</f>
        <v>3</v>
      </c>
      <c r="F73" s="31">
        <f>ROUND(3,3)</f>
        <v>3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ROUND(9.29,3)</f>
        <v>9.29</v>
      </c>
      <c r="D75" s="31">
        <f>F75</f>
        <v>9.29</v>
      </c>
      <c r="E75" s="31">
        <f>F75</f>
        <v>9.29</v>
      </c>
      <c r="F75" s="31">
        <f>ROUND(9.29,3)</f>
        <v>9.29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43587</v>
      </c>
      <c r="B77" s="28"/>
      <c r="C77" s="30">
        <f>ROUND(3.17,5)</f>
        <v>3.17</v>
      </c>
      <c r="D77" s="30">
        <f>F77</f>
        <v>134.19168</v>
      </c>
      <c r="E77" s="30">
        <f>F77</f>
        <v>134.19168</v>
      </c>
      <c r="F77" s="30">
        <f>ROUND(134.19168,5)</f>
        <v>134.19168</v>
      </c>
      <c r="G77" s="26"/>
      <c r="H77" s="42"/>
    </row>
    <row r="78" spans="1:8" ht="12.75" customHeight="1">
      <c r="A78" s="27">
        <v>43678</v>
      </c>
      <c r="B78" s="28"/>
      <c r="C78" s="30">
        <f>ROUND(3.17,5)</f>
        <v>3.17</v>
      </c>
      <c r="D78" s="30">
        <f>F78</f>
        <v>135.29782</v>
      </c>
      <c r="E78" s="30">
        <f>F78</f>
        <v>135.29782</v>
      </c>
      <c r="F78" s="30">
        <f>ROUND(135.29782,5)</f>
        <v>135.29782</v>
      </c>
      <c r="G78" s="26"/>
      <c r="H78" s="42"/>
    </row>
    <row r="79" spans="1:8" ht="12.75" customHeight="1">
      <c r="A79" s="27">
        <v>43776</v>
      </c>
      <c r="B79" s="28"/>
      <c r="C79" s="30">
        <f>ROUND(3.17,5)</f>
        <v>3.17</v>
      </c>
      <c r="D79" s="30">
        <f>F79</f>
        <v>138.18124</v>
      </c>
      <c r="E79" s="30">
        <f>F79</f>
        <v>138.18124</v>
      </c>
      <c r="F79" s="30">
        <f>ROUND(138.18124,5)</f>
        <v>138.18124</v>
      </c>
      <c r="G79" s="26"/>
      <c r="H79" s="42"/>
    </row>
    <row r="80" spans="1:8" ht="12.75" customHeight="1">
      <c r="A80" s="27">
        <v>43867</v>
      </c>
      <c r="B80" s="28"/>
      <c r="C80" s="30">
        <f>ROUND(3.17,5)</f>
        <v>3.17</v>
      </c>
      <c r="D80" s="30">
        <f>F80</f>
        <v>139.51178</v>
      </c>
      <c r="E80" s="30">
        <f>F80</f>
        <v>139.51178</v>
      </c>
      <c r="F80" s="30">
        <f>ROUND(139.51178,5)</f>
        <v>139.51178</v>
      </c>
      <c r="G80" s="26"/>
      <c r="H80" s="42"/>
    </row>
    <row r="81" spans="1:8" ht="12.75" customHeight="1">
      <c r="A81" s="27">
        <v>43958</v>
      </c>
      <c r="B81" s="28"/>
      <c r="C81" s="30">
        <f>ROUND(3.17,5)</f>
        <v>3.17</v>
      </c>
      <c r="D81" s="30">
        <f>F81</f>
        <v>142.11218</v>
      </c>
      <c r="E81" s="30">
        <f>F81</f>
        <v>142.11218</v>
      </c>
      <c r="F81" s="30">
        <f>ROUND(142.11218,5)</f>
        <v>142.11218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43587</v>
      </c>
      <c r="B83" s="28"/>
      <c r="C83" s="30">
        <f>ROUND(100.56217,5)</f>
        <v>100.56217</v>
      </c>
      <c r="D83" s="30">
        <f>F83</f>
        <v>100.71679</v>
      </c>
      <c r="E83" s="30">
        <f>F83</f>
        <v>100.71679</v>
      </c>
      <c r="F83" s="30">
        <f>ROUND(100.71679,5)</f>
        <v>100.71679</v>
      </c>
      <c r="G83" s="26"/>
      <c r="H83" s="42"/>
    </row>
    <row r="84" spans="1:8" ht="12.75" customHeight="1">
      <c r="A84" s="27">
        <v>43678</v>
      </c>
      <c r="B84" s="28"/>
      <c r="C84" s="30">
        <f>ROUND(100.56217,5)</f>
        <v>100.56217</v>
      </c>
      <c r="D84" s="30">
        <f>F84</f>
        <v>102.64063</v>
      </c>
      <c r="E84" s="30">
        <f>F84</f>
        <v>102.64063</v>
      </c>
      <c r="F84" s="30">
        <f>ROUND(102.64063,5)</f>
        <v>102.64063</v>
      </c>
      <c r="G84" s="26"/>
      <c r="H84" s="42"/>
    </row>
    <row r="85" spans="1:8" ht="12.75" customHeight="1">
      <c r="A85" s="27">
        <v>43776</v>
      </c>
      <c r="B85" s="28"/>
      <c r="C85" s="30">
        <f>ROUND(100.56217,5)</f>
        <v>100.56217</v>
      </c>
      <c r="D85" s="30">
        <f>F85</f>
        <v>103.72037</v>
      </c>
      <c r="E85" s="30">
        <f>F85</f>
        <v>103.72037</v>
      </c>
      <c r="F85" s="30">
        <f>ROUND(103.72037,5)</f>
        <v>103.72037</v>
      </c>
      <c r="G85" s="26"/>
      <c r="H85" s="42"/>
    </row>
    <row r="86" spans="1:8" ht="12.75" customHeight="1">
      <c r="A86" s="27">
        <v>43867</v>
      </c>
      <c r="B86" s="28"/>
      <c r="C86" s="30">
        <f>ROUND(100.56217,5)</f>
        <v>100.56217</v>
      </c>
      <c r="D86" s="30">
        <f>F86</f>
        <v>105.83827</v>
      </c>
      <c r="E86" s="30">
        <f>F86</f>
        <v>105.83827</v>
      </c>
      <c r="F86" s="30">
        <f>ROUND(105.83827,5)</f>
        <v>105.83827</v>
      </c>
      <c r="G86" s="26"/>
      <c r="H86" s="42"/>
    </row>
    <row r="87" spans="1:8" ht="12.75" customHeight="1">
      <c r="A87" s="27">
        <v>43958</v>
      </c>
      <c r="B87" s="28"/>
      <c r="C87" s="30">
        <f>ROUND(100.56217,5)</f>
        <v>100.56217</v>
      </c>
      <c r="D87" s="30">
        <f>F87</f>
        <v>106.68593</v>
      </c>
      <c r="E87" s="30">
        <f>F87</f>
        <v>106.68593</v>
      </c>
      <c r="F87" s="30">
        <f>ROUND(106.68593,5)</f>
        <v>106.68593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43587</v>
      </c>
      <c r="B89" s="28"/>
      <c r="C89" s="30">
        <f>ROUND(9.17,5)</f>
        <v>9.17</v>
      </c>
      <c r="D89" s="30">
        <f>F89</f>
        <v>9.21389</v>
      </c>
      <c r="E89" s="30">
        <f>F89</f>
        <v>9.21389</v>
      </c>
      <c r="F89" s="30">
        <f>ROUND(9.21389,5)</f>
        <v>9.21389</v>
      </c>
      <c r="G89" s="26"/>
      <c r="H89" s="42"/>
    </row>
    <row r="90" spans="1:8" ht="12.75" customHeight="1">
      <c r="A90" s="27">
        <v>43678</v>
      </c>
      <c r="B90" s="28"/>
      <c r="C90" s="30">
        <f>ROUND(9.17,5)</f>
        <v>9.17</v>
      </c>
      <c r="D90" s="30">
        <f>F90</f>
        <v>9.27411</v>
      </c>
      <c r="E90" s="30">
        <f>F90</f>
        <v>9.27411</v>
      </c>
      <c r="F90" s="30">
        <f>ROUND(9.27411,5)</f>
        <v>9.27411</v>
      </c>
      <c r="G90" s="26"/>
      <c r="H90" s="42"/>
    </row>
    <row r="91" spans="1:8" ht="12.75" customHeight="1">
      <c r="A91" s="27">
        <v>43776</v>
      </c>
      <c r="B91" s="28"/>
      <c r="C91" s="30">
        <f>ROUND(9.17,5)</f>
        <v>9.17</v>
      </c>
      <c r="D91" s="30">
        <f>F91</f>
        <v>9.32441</v>
      </c>
      <c r="E91" s="30">
        <f>F91</f>
        <v>9.32441</v>
      </c>
      <c r="F91" s="30">
        <f>ROUND(9.32441,5)</f>
        <v>9.32441</v>
      </c>
      <c r="G91" s="26"/>
      <c r="H91" s="42"/>
    </row>
    <row r="92" spans="1:8" ht="12.75" customHeight="1">
      <c r="A92" s="27">
        <v>43867</v>
      </c>
      <c r="B92" s="28"/>
      <c r="C92" s="30">
        <f>ROUND(9.17,5)</f>
        <v>9.17</v>
      </c>
      <c r="D92" s="30">
        <f>F92</f>
        <v>9.36488</v>
      </c>
      <c r="E92" s="30">
        <f>F92</f>
        <v>9.36488</v>
      </c>
      <c r="F92" s="30">
        <f>ROUND(9.36488,5)</f>
        <v>9.36488</v>
      </c>
      <c r="G92" s="26"/>
      <c r="H92" s="42"/>
    </row>
    <row r="93" spans="1:8" ht="12.75" customHeight="1">
      <c r="A93" s="27">
        <v>43958</v>
      </c>
      <c r="B93" s="28"/>
      <c r="C93" s="30">
        <f>ROUND(9.17,5)</f>
        <v>9.17</v>
      </c>
      <c r="D93" s="30">
        <f>F93</f>
        <v>9.43891</v>
      </c>
      <c r="E93" s="30">
        <f>F93</f>
        <v>9.43891</v>
      </c>
      <c r="F93" s="30">
        <f>ROUND(9.43891,5)</f>
        <v>9.43891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43587</v>
      </c>
      <c r="B95" s="28"/>
      <c r="C95" s="30">
        <f>ROUND(9.41,5)</f>
        <v>9.41</v>
      </c>
      <c r="D95" s="30">
        <f>F95</f>
        <v>9.45358</v>
      </c>
      <c r="E95" s="30">
        <f>F95</f>
        <v>9.45358</v>
      </c>
      <c r="F95" s="30">
        <f>ROUND(9.45358,5)</f>
        <v>9.45358</v>
      </c>
      <c r="G95" s="26"/>
      <c r="H95" s="42"/>
    </row>
    <row r="96" spans="1:8" ht="12.75" customHeight="1">
      <c r="A96" s="27">
        <v>43678</v>
      </c>
      <c r="B96" s="28"/>
      <c r="C96" s="30">
        <f>ROUND(9.41,5)</f>
        <v>9.41</v>
      </c>
      <c r="D96" s="30">
        <f>F96</f>
        <v>9.51251</v>
      </c>
      <c r="E96" s="30">
        <f>F96</f>
        <v>9.51251</v>
      </c>
      <c r="F96" s="30">
        <f>ROUND(9.51251,5)</f>
        <v>9.51251</v>
      </c>
      <c r="G96" s="26"/>
      <c r="H96" s="42"/>
    </row>
    <row r="97" spans="1:8" ht="12.75" customHeight="1">
      <c r="A97" s="27">
        <v>43776</v>
      </c>
      <c r="B97" s="28"/>
      <c r="C97" s="30">
        <f>ROUND(9.41,5)</f>
        <v>9.41</v>
      </c>
      <c r="D97" s="30">
        <f>F97</f>
        <v>9.56911</v>
      </c>
      <c r="E97" s="30">
        <f>F97</f>
        <v>9.56911</v>
      </c>
      <c r="F97" s="30">
        <f>ROUND(9.56911,5)</f>
        <v>9.56911</v>
      </c>
      <c r="G97" s="26"/>
      <c r="H97" s="42"/>
    </row>
    <row r="98" spans="1:8" ht="12.75" customHeight="1">
      <c r="A98" s="27">
        <v>43867</v>
      </c>
      <c r="B98" s="28"/>
      <c r="C98" s="30">
        <f>ROUND(9.41,5)</f>
        <v>9.41</v>
      </c>
      <c r="D98" s="30">
        <f>F98</f>
        <v>9.61485</v>
      </c>
      <c r="E98" s="30">
        <f>F98</f>
        <v>9.61485</v>
      </c>
      <c r="F98" s="30">
        <f>ROUND(9.61485,5)</f>
        <v>9.61485</v>
      </c>
      <c r="G98" s="26"/>
      <c r="H98" s="42"/>
    </row>
    <row r="99" spans="1:8" ht="12.75" customHeight="1">
      <c r="A99" s="27">
        <v>43958</v>
      </c>
      <c r="B99" s="28"/>
      <c r="C99" s="30">
        <f>ROUND(9.41,5)</f>
        <v>9.41</v>
      </c>
      <c r="D99" s="30">
        <f>F99</f>
        <v>9.68868</v>
      </c>
      <c r="E99" s="30">
        <f>F99</f>
        <v>9.68868</v>
      </c>
      <c r="F99" s="30">
        <f>ROUND(9.68868,5)</f>
        <v>9.68868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43587</v>
      </c>
      <c r="B101" s="28"/>
      <c r="C101" s="30">
        <f>ROUND(101.28527,5)</f>
        <v>101.28527</v>
      </c>
      <c r="D101" s="30">
        <f>F101</f>
        <v>102.51335</v>
      </c>
      <c r="E101" s="30">
        <f>F101</f>
        <v>102.51335</v>
      </c>
      <c r="F101" s="30">
        <f>ROUND(102.51335,5)</f>
        <v>102.51335</v>
      </c>
      <c r="G101" s="26"/>
      <c r="H101" s="42"/>
    </row>
    <row r="102" spans="1:8" ht="12.75" customHeight="1">
      <c r="A102" s="27">
        <v>43678</v>
      </c>
      <c r="B102" s="28"/>
      <c r="C102" s="30">
        <f>ROUND(101.28527,5)</f>
        <v>101.28527</v>
      </c>
      <c r="D102" s="30">
        <f>F102</f>
        <v>104.4713</v>
      </c>
      <c r="E102" s="30">
        <f>F102</f>
        <v>104.4713</v>
      </c>
      <c r="F102" s="30">
        <f>ROUND(104.4713,5)</f>
        <v>104.4713</v>
      </c>
      <c r="G102" s="26"/>
      <c r="H102" s="42"/>
    </row>
    <row r="103" spans="1:8" ht="12.75" customHeight="1">
      <c r="A103" s="27">
        <v>43776</v>
      </c>
      <c r="B103" s="28"/>
      <c r="C103" s="30">
        <f>ROUND(101.28527,5)</f>
        <v>101.28527</v>
      </c>
      <c r="D103" s="30">
        <f>F103</f>
        <v>105.51383</v>
      </c>
      <c r="E103" s="30">
        <f>F103</f>
        <v>105.51383</v>
      </c>
      <c r="F103" s="30">
        <f>ROUND(105.51383,5)</f>
        <v>105.51383</v>
      </c>
      <c r="G103" s="26"/>
      <c r="H103" s="42"/>
    </row>
    <row r="104" spans="1:8" ht="12.75" customHeight="1">
      <c r="A104" s="27">
        <v>43867</v>
      </c>
      <c r="B104" s="28"/>
      <c r="C104" s="30">
        <f>ROUND(101.28527,5)</f>
        <v>101.28527</v>
      </c>
      <c r="D104" s="30">
        <f>F104</f>
        <v>107.66829</v>
      </c>
      <c r="E104" s="30">
        <f>F104</f>
        <v>107.66829</v>
      </c>
      <c r="F104" s="30">
        <f>ROUND(107.66829,5)</f>
        <v>107.66829</v>
      </c>
      <c r="G104" s="26"/>
      <c r="H104" s="42"/>
    </row>
    <row r="105" spans="1:8" ht="12.75" customHeight="1">
      <c r="A105" s="27">
        <v>43958</v>
      </c>
      <c r="B105" s="28"/>
      <c r="C105" s="30">
        <f>ROUND(101.28527,5)</f>
        <v>101.28527</v>
      </c>
      <c r="D105" s="30">
        <f>F105</f>
        <v>108.46566</v>
      </c>
      <c r="E105" s="30">
        <f>F105</f>
        <v>108.46566</v>
      </c>
      <c r="F105" s="30">
        <f>ROUND(108.46566,5)</f>
        <v>108.46566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43587</v>
      </c>
      <c r="B107" s="28"/>
      <c r="C107" s="30">
        <f>ROUND(9.66,5)</f>
        <v>9.66</v>
      </c>
      <c r="D107" s="30">
        <f>F107</f>
        <v>9.70457</v>
      </c>
      <c r="E107" s="30">
        <f>F107</f>
        <v>9.70457</v>
      </c>
      <c r="F107" s="30">
        <f>ROUND(9.70457,5)</f>
        <v>9.70457</v>
      </c>
      <c r="G107" s="26"/>
      <c r="H107" s="42"/>
    </row>
    <row r="108" spans="1:8" ht="12.75" customHeight="1">
      <c r="A108" s="27">
        <v>43678</v>
      </c>
      <c r="B108" s="28"/>
      <c r="C108" s="30">
        <f>ROUND(9.66,5)</f>
        <v>9.66</v>
      </c>
      <c r="D108" s="30">
        <f>F108</f>
        <v>9.76717</v>
      </c>
      <c r="E108" s="30">
        <f>F108</f>
        <v>9.76717</v>
      </c>
      <c r="F108" s="30">
        <f>ROUND(9.76717,5)</f>
        <v>9.76717</v>
      </c>
      <c r="G108" s="26"/>
      <c r="H108" s="42"/>
    </row>
    <row r="109" spans="1:8" ht="12.75" customHeight="1">
      <c r="A109" s="27">
        <v>43776</v>
      </c>
      <c r="B109" s="28"/>
      <c r="C109" s="30">
        <f>ROUND(9.66,5)</f>
        <v>9.66</v>
      </c>
      <c r="D109" s="30">
        <f>F109</f>
        <v>9.82219</v>
      </c>
      <c r="E109" s="30">
        <f>F109</f>
        <v>9.82219</v>
      </c>
      <c r="F109" s="30">
        <f>ROUND(9.82219,5)</f>
        <v>9.82219</v>
      </c>
      <c r="G109" s="26"/>
      <c r="H109" s="42"/>
    </row>
    <row r="110" spans="1:8" ht="12.75" customHeight="1">
      <c r="A110" s="27">
        <v>43867</v>
      </c>
      <c r="B110" s="28"/>
      <c r="C110" s="30">
        <f>ROUND(9.66,5)</f>
        <v>9.66</v>
      </c>
      <c r="D110" s="30">
        <f>F110</f>
        <v>9.86864</v>
      </c>
      <c r="E110" s="30">
        <f>F110</f>
        <v>9.86864</v>
      </c>
      <c r="F110" s="30">
        <f>ROUND(9.86864,5)</f>
        <v>9.86864</v>
      </c>
      <c r="G110" s="26"/>
      <c r="H110" s="42"/>
    </row>
    <row r="111" spans="1:8" ht="12.75" customHeight="1">
      <c r="A111" s="27">
        <v>43958</v>
      </c>
      <c r="B111" s="28"/>
      <c r="C111" s="30">
        <f>ROUND(9.66,5)</f>
        <v>9.66</v>
      </c>
      <c r="D111" s="30">
        <f>F111</f>
        <v>9.94119</v>
      </c>
      <c r="E111" s="30">
        <f>F111</f>
        <v>9.94119</v>
      </c>
      <c r="F111" s="30">
        <f>ROUND(9.94119,5)</f>
        <v>9.94119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43587</v>
      </c>
      <c r="B113" s="28"/>
      <c r="C113" s="30">
        <f>ROUND(3.275,5)</f>
        <v>3.275</v>
      </c>
      <c r="D113" s="30">
        <f>F113</f>
        <v>122.64539</v>
      </c>
      <c r="E113" s="30">
        <f>F113</f>
        <v>122.64539</v>
      </c>
      <c r="F113" s="30">
        <f>ROUND(122.64539,5)</f>
        <v>122.64539</v>
      </c>
      <c r="G113" s="26"/>
      <c r="H113" s="42"/>
    </row>
    <row r="114" spans="1:8" ht="12.75" customHeight="1">
      <c r="A114" s="27">
        <v>43678</v>
      </c>
      <c r="B114" s="28"/>
      <c r="C114" s="30">
        <f>ROUND(3.275,5)</f>
        <v>3.275</v>
      </c>
      <c r="D114" s="30">
        <f>F114</f>
        <v>123.34878</v>
      </c>
      <c r="E114" s="30">
        <f>F114</f>
        <v>123.34878</v>
      </c>
      <c r="F114" s="30">
        <f>ROUND(123.34878,5)</f>
        <v>123.34878</v>
      </c>
      <c r="G114" s="26"/>
      <c r="H114" s="42"/>
    </row>
    <row r="115" spans="1:8" ht="12.75" customHeight="1">
      <c r="A115" s="27">
        <v>43776</v>
      </c>
      <c r="B115" s="28"/>
      <c r="C115" s="30">
        <f>ROUND(3.275,5)</f>
        <v>3.275</v>
      </c>
      <c r="D115" s="30">
        <f>F115</f>
        <v>125.97761</v>
      </c>
      <c r="E115" s="30">
        <f>F115</f>
        <v>125.97761</v>
      </c>
      <c r="F115" s="30">
        <f>ROUND(125.97761,5)</f>
        <v>125.97761</v>
      </c>
      <c r="G115" s="26"/>
      <c r="H115" s="42"/>
    </row>
    <row r="116" spans="1:8" ht="12.75" customHeight="1">
      <c r="A116" s="27">
        <v>43867</v>
      </c>
      <c r="B116" s="28"/>
      <c r="C116" s="30">
        <f>ROUND(3.275,5)</f>
        <v>3.275</v>
      </c>
      <c r="D116" s="30">
        <f>F116</f>
        <v>126.87284</v>
      </c>
      <c r="E116" s="30">
        <f>F116</f>
        <v>126.87284</v>
      </c>
      <c r="F116" s="30">
        <f>ROUND(126.87284,5)</f>
        <v>126.87284</v>
      </c>
      <c r="G116" s="26"/>
      <c r="H116" s="42"/>
    </row>
    <row r="117" spans="1:8" ht="12.75" customHeight="1">
      <c r="A117" s="27">
        <v>43958</v>
      </c>
      <c r="B117" s="28"/>
      <c r="C117" s="30">
        <f>ROUND(3.275,5)</f>
        <v>3.275</v>
      </c>
      <c r="D117" s="30">
        <f>F117</f>
        <v>129.23697</v>
      </c>
      <c r="E117" s="30">
        <f>F117</f>
        <v>129.23697</v>
      </c>
      <c r="F117" s="30">
        <f>ROUND(129.23697,5)</f>
        <v>129.23697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43587</v>
      </c>
      <c r="B119" s="28"/>
      <c r="C119" s="30">
        <f>ROUND(9.74,5)</f>
        <v>9.74</v>
      </c>
      <c r="D119" s="30">
        <f>F119</f>
        <v>9.78436</v>
      </c>
      <c r="E119" s="30">
        <f>F119</f>
        <v>9.78436</v>
      </c>
      <c r="F119" s="30">
        <f>ROUND(9.78436,5)</f>
        <v>9.78436</v>
      </c>
      <c r="G119" s="26"/>
      <c r="H119" s="42"/>
    </row>
    <row r="120" spans="1:8" ht="12.75" customHeight="1">
      <c r="A120" s="27">
        <v>43678</v>
      </c>
      <c r="B120" s="28"/>
      <c r="C120" s="30">
        <f>ROUND(9.74,5)</f>
        <v>9.74</v>
      </c>
      <c r="D120" s="30">
        <f>F120</f>
        <v>9.84683</v>
      </c>
      <c r="E120" s="30">
        <f>F120</f>
        <v>9.84683</v>
      </c>
      <c r="F120" s="30">
        <f>ROUND(9.84683,5)</f>
        <v>9.84683</v>
      </c>
      <c r="G120" s="26"/>
      <c r="H120" s="42"/>
    </row>
    <row r="121" spans="1:8" ht="12.75" customHeight="1">
      <c r="A121" s="27">
        <v>43776</v>
      </c>
      <c r="B121" s="28"/>
      <c r="C121" s="30">
        <f>ROUND(9.74,5)</f>
        <v>9.74</v>
      </c>
      <c r="D121" s="30">
        <f>F121</f>
        <v>9.90203</v>
      </c>
      <c r="E121" s="30">
        <f>F121</f>
        <v>9.90203</v>
      </c>
      <c r="F121" s="30">
        <f>ROUND(9.90203,5)</f>
        <v>9.90203</v>
      </c>
      <c r="G121" s="26"/>
      <c r="H121" s="42"/>
    </row>
    <row r="122" spans="1:8" ht="12.75" customHeight="1">
      <c r="A122" s="27">
        <v>43867</v>
      </c>
      <c r="B122" s="28"/>
      <c r="C122" s="30">
        <f>ROUND(9.74,5)</f>
        <v>9.74</v>
      </c>
      <c r="D122" s="30">
        <f>F122</f>
        <v>9.94886</v>
      </c>
      <c r="E122" s="30">
        <f>F122</f>
        <v>9.94886</v>
      </c>
      <c r="F122" s="30">
        <f>ROUND(9.94886,5)</f>
        <v>9.94886</v>
      </c>
      <c r="G122" s="26"/>
      <c r="H122" s="42"/>
    </row>
    <row r="123" spans="1:8" ht="12.75" customHeight="1">
      <c r="A123" s="27">
        <v>43958</v>
      </c>
      <c r="B123" s="28"/>
      <c r="C123" s="30">
        <f>ROUND(9.74,5)</f>
        <v>9.74</v>
      </c>
      <c r="D123" s="30">
        <f>F123</f>
        <v>10.02064</v>
      </c>
      <c r="E123" s="30">
        <f>F123</f>
        <v>10.02064</v>
      </c>
      <c r="F123" s="30">
        <f>ROUND(10.02064,5)</f>
        <v>10.02064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43587</v>
      </c>
      <c r="B125" s="28"/>
      <c r="C125" s="30">
        <f>ROUND(9.745,5)</f>
        <v>9.745</v>
      </c>
      <c r="D125" s="30">
        <f>F125</f>
        <v>9.78721</v>
      </c>
      <c r="E125" s="30">
        <f>F125</f>
        <v>9.78721</v>
      </c>
      <c r="F125" s="30">
        <f>ROUND(9.78721,5)</f>
        <v>9.78721</v>
      </c>
      <c r="G125" s="26"/>
      <c r="H125" s="42"/>
    </row>
    <row r="126" spans="1:8" ht="12.75" customHeight="1">
      <c r="A126" s="27">
        <v>43678</v>
      </c>
      <c r="B126" s="28"/>
      <c r="C126" s="30">
        <f>ROUND(9.745,5)</f>
        <v>9.745</v>
      </c>
      <c r="D126" s="30">
        <f>F126</f>
        <v>9.84655</v>
      </c>
      <c r="E126" s="30">
        <f>F126</f>
        <v>9.84655</v>
      </c>
      <c r="F126" s="30">
        <f>ROUND(9.84655,5)</f>
        <v>9.84655</v>
      </c>
      <c r="G126" s="26"/>
      <c r="H126" s="42"/>
    </row>
    <row r="127" spans="1:8" ht="12.75" customHeight="1">
      <c r="A127" s="27">
        <v>43776</v>
      </c>
      <c r="B127" s="28"/>
      <c r="C127" s="30">
        <f>ROUND(9.745,5)</f>
        <v>9.745</v>
      </c>
      <c r="D127" s="30">
        <f>F127</f>
        <v>9.89884</v>
      </c>
      <c r="E127" s="30">
        <f>F127</f>
        <v>9.89884</v>
      </c>
      <c r="F127" s="30">
        <f>ROUND(9.89884,5)</f>
        <v>9.89884</v>
      </c>
      <c r="G127" s="26"/>
      <c r="H127" s="42"/>
    </row>
    <row r="128" spans="1:8" ht="12.75" customHeight="1">
      <c r="A128" s="27">
        <v>43867</v>
      </c>
      <c r="B128" s="28"/>
      <c r="C128" s="30">
        <f>ROUND(9.745,5)</f>
        <v>9.745</v>
      </c>
      <c r="D128" s="30">
        <f>F128</f>
        <v>9.94307</v>
      </c>
      <c r="E128" s="30">
        <f>F128</f>
        <v>9.94307</v>
      </c>
      <c r="F128" s="30">
        <f>ROUND(9.94307,5)</f>
        <v>9.94307</v>
      </c>
      <c r="G128" s="26"/>
      <c r="H128" s="42"/>
    </row>
    <row r="129" spans="1:8" ht="12.75" customHeight="1">
      <c r="A129" s="27">
        <v>43958</v>
      </c>
      <c r="B129" s="28"/>
      <c r="C129" s="30">
        <f>ROUND(9.745,5)</f>
        <v>9.745</v>
      </c>
      <c r="D129" s="30">
        <f>F129</f>
        <v>10.01079</v>
      </c>
      <c r="E129" s="30">
        <f>F129</f>
        <v>10.01079</v>
      </c>
      <c r="F129" s="30">
        <f>ROUND(10.01079,5)</f>
        <v>10.01079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43587</v>
      </c>
      <c r="B131" s="28"/>
      <c r="C131" s="30">
        <f>ROUND(115.51772,5)</f>
        <v>115.51772</v>
      </c>
      <c r="D131" s="30">
        <f>F131</f>
        <v>115.24544</v>
      </c>
      <c r="E131" s="30">
        <f>F131</f>
        <v>115.24544</v>
      </c>
      <c r="F131" s="30">
        <f>ROUND(115.24544,5)</f>
        <v>115.24544</v>
      </c>
      <c r="G131" s="26"/>
      <c r="H131" s="42"/>
    </row>
    <row r="132" spans="1:8" ht="12.75" customHeight="1">
      <c r="A132" s="27">
        <v>43678</v>
      </c>
      <c r="B132" s="28"/>
      <c r="C132" s="30">
        <f>ROUND(115.51772,5)</f>
        <v>115.51772</v>
      </c>
      <c r="D132" s="30">
        <f>F132</f>
        <v>117.44685</v>
      </c>
      <c r="E132" s="30">
        <f>F132</f>
        <v>117.44685</v>
      </c>
      <c r="F132" s="30">
        <f>ROUND(117.44685,5)</f>
        <v>117.44685</v>
      </c>
      <c r="G132" s="26"/>
      <c r="H132" s="42"/>
    </row>
    <row r="133" spans="1:8" ht="12.75" customHeight="1">
      <c r="A133" s="27">
        <v>43776</v>
      </c>
      <c r="B133" s="28"/>
      <c r="C133" s="30">
        <f>ROUND(115.51772,5)</f>
        <v>115.51772</v>
      </c>
      <c r="D133" s="30">
        <f>F133</f>
        <v>118.20933</v>
      </c>
      <c r="E133" s="30">
        <f>F133</f>
        <v>118.20933</v>
      </c>
      <c r="F133" s="30">
        <f>ROUND(118.20933,5)</f>
        <v>118.20933</v>
      </c>
      <c r="G133" s="26"/>
      <c r="H133" s="42"/>
    </row>
    <row r="134" spans="1:8" ht="12.75" customHeight="1">
      <c r="A134" s="27">
        <v>43867</v>
      </c>
      <c r="B134" s="28"/>
      <c r="C134" s="30">
        <f>ROUND(115.51772,5)</f>
        <v>115.51772</v>
      </c>
      <c r="D134" s="30">
        <f>F134</f>
        <v>120.62335</v>
      </c>
      <c r="E134" s="30">
        <f>F134</f>
        <v>120.62335</v>
      </c>
      <c r="F134" s="30">
        <f>ROUND(120.62335,5)</f>
        <v>120.62335</v>
      </c>
      <c r="G134" s="26"/>
      <c r="H134" s="42"/>
    </row>
    <row r="135" spans="1:8" ht="12.75" customHeight="1">
      <c r="A135" s="27">
        <v>43958</v>
      </c>
      <c r="B135" s="28"/>
      <c r="C135" s="30">
        <f>ROUND(115.51772,5)</f>
        <v>115.51772</v>
      </c>
      <c r="D135" s="30">
        <f>F135</f>
        <v>121.10278</v>
      </c>
      <c r="E135" s="30">
        <f>F135</f>
        <v>121.10278</v>
      </c>
      <c r="F135" s="30">
        <f>ROUND(121.10278,5)</f>
        <v>121.10278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43587</v>
      </c>
      <c r="B137" s="28"/>
      <c r="C137" s="30">
        <f>ROUND(3.3,5)</f>
        <v>3.3</v>
      </c>
      <c r="D137" s="30">
        <f>F137</f>
        <v>120.9805</v>
      </c>
      <c r="E137" s="30">
        <f>F137</f>
        <v>120.9805</v>
      </c>
      <c r="F137" s="30">
        <f>ROUND(120.9805,5)</f>
        <v>120.9805</v>
      </c>
      <c r="G137" s="26"/>
      <c r="H137" s="42"/>
    </row>
    <row r="138" spans="1:8" ht="12.75" customHeight="1">
      <c r="A138" s="27">
        <v>43678</v>
      </c>
      <c r="B138" s="28"/>
      <c r="C138" s="30">
        <f>ROUND(3.3,5)</f>
        <v>3.3</v>
      </c>
      <c r="D138" s="30">
        <f>F138</f>
        <v>121.47358</v>
      </c>
      <c r="E138" s="30">
        <f>F138</f>
        <v>121.47358</v>
      </c>
      <c r="F138" s="30">
        <f>ROUND(121.47358,5)</f>
        <v>121.47358</v>
      </c>
      <c r="G138" s="26"/>
      <c r="H138" s="42"/>
    </row>
    <row r="139" spans="1:8" ht="12.75" customHeight="1">
      <c r="A139" s="27">
        <v>43776</v>
      </c>
      <c r="B139" s="28"/>
      <c r="C139" s="30">
        <f>ROUND(3.3,5)</f>
        <v>3.3</v>
      </c>
      <c r="D139" s="30">
        <f>F139</f>
        <v>124.0625</v>
      </c>
      <c r="E139" s="30">
        <f>F139</f>
        <v>124.0625</v>
      </c>
      <c r="F139" s="30">
        <f>ROUND(124.0625,5)</f>
        <v>124.0625</v>
      </c>
      <c r="G139" s="26"/>
      <c r="H139" s="42"/>
    </row>
    <row r="140" spans="1:8" ht="12.75" customHeight="1">
      <c r="A140" s="27">
        <v>43867</v>
      </c>
      <c r="B140" s="28"/>
      <c r="C140" s="30">
        <f>ROUND(3.3,5)</f>
        <v>3.3</v>
      </c>
      <c r="D140" s="30">
        <f>F140</f>
        <v>124.75761</v>
      </c>
      <c r="E140" s="30">
        <f>F140</f>
        <v>124.75761</v>
      </c>
      <c r="F140" s="30">
        <f>ROUND(124.75761,5)</f>
        <v>124.75761</v>
      </c>
      <c r="G140" s="26"/>
      <c r="H140" s="42"/>
    </row>
    <row r="141" spans="1:8" ht="12.75" customHeight="1">
      <c r="A141" s="27">
        <v>43958</v>
      </c>
      <c r="B141" s="28"/>
      <c r="C141" s="30">
        <f>ROUND(3.3,5)</f>
        <v>3.3</v>
      </c>
      <c r="D141" s="30">
        <f>F141</f>
        <v>127.08269</v>
      </c>
      <c r="E141" s="30">
        <f>F141</f>
        <v>127.08269</v>
      </c>
      <c r="F141" s="30">
        <f>ROUND(127.08269,5)</f>
        <v>127.08269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43587</v>
      </c>
      <c r="B143" s="28"/>
      <c r="C143" s="30">
        <f>ROUND(4.02,5)</f>
        <v>4.02</v>
      </c>
      <c r="D143" s="30">
        <f>F143</f>
        <v>136.1289</v>
      </c>
      <c r="E143" s="30">
        <f>F143</f>
        <v>136.1289</v>
      </c>
      <c r="F143" s="30">
        <f>ROUND(136.1289,5)</f>
        <v>136.1289</v>
      </c>
      <c r="G143" s="26"/>
      <c r="H143" s="42"/>
    </row>
    <row r="144" spans="1:8" ht="12.75" customHeight="1">
      <c r="A144" s="27">
        <v>43678</v>
      </c>
      <c r="B144" s="28"/>
      <c r="C144" s="30">
        <f>ROUND(4.02,5)</f>
        <v>4.02</v>
      </c>
      <c r="D144" s="30">
        <f>F144</f>
        <v>130.91267</v>
      </c>
      <c r="E144" s="30">
        <f>F144</f>
        <v>130.91267</v>
      </c>
      <c r="F144" s="30">
        <f>ROUND(130.91267,5)</f>
        <v>130.91267</v>
      </c>
      <c r="G144" s="26"/>
      <c r="H144" s="42"/>
    </row>
    <row r="145" spans="1:8" ht="12.75" customHeight="1">
      <c r="A145" s="27">
        <v>43776</v>
      </c>
      <c r="B145" s="28"/>
      <c r="C145" s="30">
        <f>ROUND(4.02,5)</f>
        <v>4.02</v>
      </c>
      <c r="D145" s="30">
        <f>F145</f>
        <v>131.78491</v>
      </c>
      <c r="E145" s="30">
        <f>F145</f>
        <v>131.78491</v>
      </c>
      <c r="F145" s="30">
        <f>ROUND(131.78491,5)</f>
        <v>131.78491</v>
      </c>
      <c r="G145" s="26"/>
      <c r="H145" s="42"/>
    </row>
    <row r="146" spans="1:8" ht="12.75" customHeight="1">
      <c r="A146" s="27">
        <v>43867</v>
      </c>
      <c r="B146" s="28"/>
      <c r="C146" s="30">
        <f>ROUND(4.02,5)</f>
        <v>4.02</v>
      </c>
      <c r="D146" s="30">
        <f>F146</f>
        <v>134.47622</v>
      </c>
      <c r="E146" s="30">
        <f>F146</f>
        <v>134.47622</v>
      </c>
      <c r="F146" s="30">
        <f>ROUND(134.47622,5)</f>
        <v>134.47622</v>
      </c>
      <c r="G146" s="26"/>
      <c r="H146" s="42"/>
    </row>
    <row r="147" spans="1:8" ht="12.75" customHeight="1">
      <c r="A147" s="27">
        <v>43958</v>
      </c>
      <c r="B147" s="28"/>
      <c r="C147" s="30">
        <f>ROUND(4.02,5)</f>
        <v>4.02</v>
      </c>
      <c r="D147" s="30">
        <f>F147</f>
        <v>135.02662</v>
      </c>
      <c r="E147" s="30">
        <f>F147</f>
        <v>135.02662</v>
      </c>
      <c r="F147" s="30">
        <f>ROUND(135.02662,5)</f>
        <v>135.02662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43587</v>
      </c>
      <c r="B149" s="28"/>
      <c r="C149" s="30">
        <f>ROUND(10.83,5)</f>
        <v>10.83</v>
      </c>
      <c r="D149" s="30">
        <f>F149</f>
        <v>10.89973</v>
      </c>
      <c r="E149" s="30">
        <f>F149</f>
        <v>10.89973</v>
      </c>
      <c r="F149" s="30">
        <f>ROUND(10.89973,5)</f>
        <v>10.89973</v>
      </c>
      <c r="G149" s="26"/>
      <c r="H149" s="42"/>
    </row>
    <row r="150" spans="1:8" ht="12.75" customHeight="1">
      <c r="A150" s="27">
        <v>43678</v>
      </c>
      <c r="B150" s="28"/>
      <c r="C150" s="30">
        <f>ROUND(10.83,5)</f>
        <v>10.83</v>
      </c>
      <c r="D150" s="30">
        <f>F150</f>
        <v>11.00191</v>
      </c>
      <c r="E150" s="30">
        <f>F150</f>
        <v>11.00191</v>
      </c>
      <c r="F150" s="30">
        <f>ROUND(11.00191,5)</f>
        <v>11.00191</v>
      </c>
      <c r="G150" s="26"/>
      <c r="H150" s="42"/>
    </row>
    <row r="151" spans="1:8" ht="12.75" customHeight="1">
      <c r="A151" s="27">
        <v>43776</v>
      </c>
      <c r="B151" s="28"/>
      <c r="C151" s="30">
        <f>ROUND(10.83,5)</f>
        <v>10.83</v>
      </c>
      <c r="D151" s="30">
        <f>F151</f>
        <v>11.1091</v>
      </c>
      <c r="E151" s="30">
        <f>F151</f>
        <v>11.1091</v>
      </c>
      <c r="F151" s="30">
        <f>ROUND(11.1091,5)</f>
        <v>11.1091</v>
      </c>
      <c r="G151" s="26"/>
      <c r="H151" s="42"/>
    </row>
    <row r="152" spans="1:8" ht="12.75" customHeight="1">
      <c r="A152" s="27">
        <v>43867</v>
      </c>
      <c r="B152" s="28"/>
      <c r="C152" s="30">
        <f>ROUND(10.83,5)</f>
        <v>10.83</v>
      </c>
      <c r="D152" s="30">
        <f>F152</f>
        <v>11.20641</v>
      </c>
      <c r="E152" s="30">
        <f>F152</f>
        <v>11.20641</v>
      </c>
      <c r="F152" s="30">
        <f>ROUND(11.20641,5)</f>
        <v>11.20641</v>
      </c>
      <c r="G152" s="26"/>
      <c r="H152" s="42"/>
    </row>
    <row r="153" spans="1:8" ht="12.75" customHeight="1">
      <c r="A153" s="27">
        <v>43958</v>
      </c>
      <c r="B153" s="28"/>
      <c r="C153" s="30">
        <f>ROUND(10.83,5)</f>
        <v>10.83</v>
      </c>
      <c r="D153" s="30">
        <f>F153</f>
        <v>11.33006</v>
      </c>
      <c r="E153" s="30">
        <f>F153</f>
        <v>11.33006</v>
      </c>
      <c r="F153" s="30">
        <f>ROUND(11.33006,5)</f>
        <v>11.33006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43587</v>
      </c>
      <c r="B155" s="28"/>
      <c r="C155" s="30">
        <f>ROUND(11.085,5)</f>
        <v>11.085</v>
      </c>
      <c r="D155" s="30">
        <f>F155</f>
        <v>11.15669</v>
      </c>
      <c r="E155" s="30">
        <f>F155</f>
        <v>11.15669</v>
      </c>
      <c r="F155" s="30">
        <f>ROUND(11.15669,5)</f>
        <v>11.15669</v>
      </c>
      <c r="G155" s="26"/>
      <c r="H155" s="42"/>
    </row>
    <row r="156" spans="1:8" ht="12.75" customHeight="1">
      <c r="A156" s="27">
        <v>43678</v>
      </c>
      <c r="B156" s="28"/>
      <c r="C156" s="30">
        <f>ROUND(11.085,5)</f>
        <v>11.085</v>
      </c>
      <c r="D156" s="30">
        <f>F156</f>
        <v>11.25707</v>
      </c>
      <c r="E156" s="30">
        <f>F156</f>
        <v>11.25707</v>
      </c>
      <c r="F156" s="30">
        <f>ROUND(11.25707,5)</f>
        <v>11.25707</v>
      </c>
      <c r="G156" s="26"/>
      <c r="H156" s="42"/>
    </row>
    <row r="157" spans="1:8" ht="12.75" customHeight="1">
      <c r="A157" s="27">
        <v>43776</v>
      </c>
      <c r="B157" s="28"/>
      <c r="C157" s="30">
        <f>ROUND(11.085,5)</f>
        <v>11.085</v>
      </c>
      <c r="D157" s="30">
        <f>F157</f>
        <v>11.36244</v>
      </c>
      <c r="E157" s="30">
        <f>F157</f>
        <v>11.36244</v>
      </c>
      <c r="F157" s="30">
        <f>ROUND(11.36244,5)</f>
        <v>11.36244</v>
      </c>
      <c r="G157" s="26"/>
      <c r="H157" s="42"/>
    </row>
    <row r="158" spans="1:8" ht="12.75" customHeight="1">
      <c r="A158" s="27">
        <v>43867</v>
      </c>
      <c r="B158" s="28"/>
      <c r="C158" s="30">
        <f>ROUND(11.085,5)</f>
        <v>11.085</v>
      </c>
      <c r="D158" s="30">
        <f>F158</f>
        <v>11.45431</v>
      </c>
      <c r="E158" s="30">
        <f>F158</f>
        <v>11.45431</v>
      </c>
      <c r="F158" s="30">
        <f>ROUND(11.45431,5)</f>
        <v>11.45431</v>
      </c>
      <c r="G158" s="26"/>
      <c r="H158" s="42"/>
    </row>
    <row r="159" spans="1:8" ht="12.75" customHeight="1">
      <c r="A159" s="27">
        <v>43958</v>
      </c>
      <c r="B159" s="28"/>
      <c r="C159" s="30">
        <f>ROUND(11.085,5)</f>
        <v>11.085</v>
      </c>
      <c r="D159" s="30">
        <f>F159</f>
        <v>11.57418</v>
      </c>
      <c r="E159" s="30">
        <f>F159</f>
        <v>11.57418</v>
      </c>
      <c r="F159" s="30">
        <f>ROUND(11.57418,5)</f>
        <v>11.57418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43587</v>
      </c>
      <c r="B161" s="28"/>
      <c r="C161" s="30">
        <f>ROUND(7.79,5)</f>
        <v>7.79</v>
      </c>
      <c r="D161" s="30">
        <f>F161</f>
        <v>7.80782</v>
      </c>
      <c r="E161" s="30">
        <f>F161</f>
        <v>7.80782</v>
      </c>
      <c r="F161" s="30">
        <f>ROUND(7.80782,5)</f>
        <v>7.80782</v>
      </c>
      <c r="G161" s="26"/>
      <c r="H161" s="42"/>
    </row>
    <row r="162" spans="1:8" ht="12.75" customHeight="1">
      <c r="A162" s="27">
        <v>43678</v>
      </c>
      <c r="B162" s="28"/>
      <c r="C162" s="30">
        <f>ROUND(7.79,5)</f>
        <v>7.79</v>
      </c>
      <c r="D162" s="30">
        <f>F162</f>
        <v>7.81652</v>
      </c>
      <c r="E162" s="30">
        <f>F162</f>
        <v>7.81652</v>
      </c>
      <c r="F162" s="30">
        <f>ROUND(7.81652,5)</f>
        <v>7.81652</v>
      </c>
      <c r="G162" s="26"/>
      <c r="H162" s="42"/>
    </row>
    <row r="163" spans="1:8" ht="12.75" customHeight="1">
      <c r="A163" s="27">
        <v>43776</v>
      </c>
      <c r="B163" s="28"/>
      <c r="C163" s="30">
        <f>ROUND(7.79,5)</f>
        <v>7.79</v>
      </c>
      <c r="D163" s="30">
        <f>F163</f>
        <v>7.81021</v>
      </c>
      <c r="E163" s="30">
        <f>F163</f>
        <v>7.81021</v>
      </c>
      <c r="F163" s="30">
        <f>ROUND(7.81021,5)</f>
        <v>7.81021</v>
      </c>
      <c r="G163" s="26"/>
      <c r="H163" s="42"/>
    </row>
    <row r="164" spans="1:8" ht="12.75" customHeight="1">
      <c r="A164" s="27">
        <v>43867</v>
      </c>
      <c r="B164" s="28"/>
      <c r="C164" s="30">
        <f>ROUND(7.79,5)</f>
        <v>7.79</v>
      </c>
      <c r="D164" s="30">
        <f>F164</f>
        <v>7.78146</v>
      </c>
      <c r="E164" s="30">
        <f>F164</f>
        <v>7.78146</v>
      </c>
      <c r="F164" s="30">
        <f>ROUND(7.78146,5)</f>
        <v>7.78146</v>
      </c>
      <c r="G164" s="26"/>
      <c r="H164" s="42"/>
    </row>
    <row r="165" spans="1:8" ht="12.75" customHeight="1">
      <c r="A165" s="27">
        <v>43958</v>
      </c>
      <c r="B165" s="28"/>
      <c r="C165" s="30">
        <f>ROUND(7.79,5)</f>
        <v>7.79</v>
      </c>
      <c r="D165" s="30">
        <f>F165</f>
        <v>7.80828</v>
      </c>
      <c r="E165" s="30">
        <f>F165</f>
        <v>7.80828</v>
      </c>
      <c r="F165" s="30">
        <f>ROUND(7.80828,5)</f>
        <v>7.80828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43587</v>
      </c>
      <c r="B167" s="28"/>
      <c r="C167" s="30">
        <f>ROUND(9.575,5)</f>
        <v>9.575</v>
      </c>
      <c r="D167" s="30">
        <f>F167</f>
        <v>9.61676</v>
      </c>
      <c r="E167" s="30">
        <f>F167</f>
        <v>9.61676</v>
      </c>
      <c r="F167" s="30">
        <f>ROUND(9.61676,5)</f>
        <v>9.61676</v>
      </c>
      <c r="G167" s="26"/>
      <c r="H167" s="42"/>
    </row>
    <row r="168" spans="1:8" ht="12.75" customHeight="1">
      <c r="A168" s="27">
        <v>43678</v>
      </c>
      <c r="B168" s="28"/>
      <c r="C168" s="30">
        <f>ROUND(9.575,5)</f>
        <v>9.575</v>
      </c>
      <c r="D168" s="30">
        <f>F168</f>
        <v>9.67507</v>
      </c>
      <c r="E168" s="30">
        <f>F168</f>
        <v>9.67507</v>
      </c>
      <c r="F168" s="30">
        <f>ROUND(9.67507,5)</f>
        <v>9.67507</v>
      </c>
      <c r="G168" s="26"/>
      <c r="H168" s="42"/>
    </row>
    <row r="169" spans="1:8" ht="12.75" customHeight="1">
      <c r="A169" s="27">
        <v>43776</v>
      </c>
      <c r="B169" s="28"/>
      <c r="C169" s="30">
        <f>ROUND(9.575,5)</f>
        <v>9.575</v>
      </c>
      <c r="D169" s="30">
        <f>F169</f>
        <v>9.7344</v>
      </c>
      <c r="E169" s="30">
        <f>F169</f>
        <v>9.7344</v>
      </c>
      <c r="F169" s="30">
        <f>ROUND(9.7344,5)</f>
        <v>9.7344</v>
      </c>
      <c r="G169" s="26"/>
      <c r="H169" s="42"/>
    </row>
    <row r="170" spans="1:8" ht="12.75" customHeight="1">
      <c r="A170" s="27">
        <v>43867</v>
      </c>
      <c r="B170" s="28"/>
      <c r="C170" s="30">
        <f>ROUND(9.575,5)</f>
        <v>9.575</v>
      </c>
      <c r="D170" s="30">
        <f>F170</f>
        <v>9.7854</v>
      </c>
      <c r="E170" s="30">
        <f>F170</f>
        <v>9.7854</v>
      </c>
      <c r="F170" s="30">
        <f>ROUND(9.7854,5)</f>
        <v>9.7854</v>
      </c>
      <c r="G170" s="26"/>
      <c r="H170" s="42"/>
    </row>
    <row r="171" spans="1:8" ht="12.75" customHeight="1">
      <c r="A171" s="27">
        <v>43958</v>
      </c>
      <c r="B171" s="28"/>
      <c r="C171" s="30">
        <f>ROUND(9.575,5)</f>
        <v>9.575</v>
      </c>
      <c r="D171" s="30">
        <f>F171</f>
        <v>9.85592</v>
      </c>
      <c r="E171" s="30">
        <f>F171</f>
        <v>9.85592</v>
      </c>
      <c r="F171" s="30">
        <f>ROUND(9.85592,5)</f>
        <v>9.85592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43587</v>
      </c>
      <c r="B173" s="28"/>
      <c r="C173" s="30">
        <f>ROUND(8.65,5)</f>
        <v>8.65</v>
      </c>
      <c r="D173" s="30">
        <f>F173</f>
        <v>8.69033</v>
      </c>
      <c r="E173" s="30">
        <f>F173</f>
        <v>8.69033</v>
      </c>
      <c r="F173" s="30">
        <f>ROUND(8.69033,5)</f>
        <v>8.69033</v>
      </c>
      <c r="G173" s="26"/>
      <c r="H173" s="42"/>
    </row>
    <row r="174" spans="1:8" ht="12.75" customHeight="1">
      <c r="A174" s="27">
        <v>43678</v>
      </c>
      <c r="B174" s="28"/>
      <c r="C174" s="30">
        <f>ROUND(8.65,5)</f>
        <v>8.65</v>
      </c>
      <c r="D174" s="30">
        <f>F174</f>
        <v>8.74075</v>
      </c>
      <c r="E174" s="30">
        <f>F174</f>
        <v>8.74075</v>
      </c>
      <c r="F174" s="30">
        <f>ROUND(8.74075,5)</f>
        <v>8.74075</v>
      </c>
      <c r="G174" s="26"/>
      <c r="H174" s="42"/>
    </row>
    <row r="175" spans="1:8" ht="12.75" customHeight="1">
      <c r="A175" s="27">
        <v>43776</v>
      </c>
      <c r="B175" s="28"/>
      <c r="C175" s="30">
        <f>ROUND(8.65,5)</f>
        <v>8.65</v>
      </c>
      <c r="D175" s="30">
        <f>F175</f>
        <v>8.78305</v>
      </c>
      <c r="E175" s="30">
        <f>F175</f>
        <v>8.78305</v>
      </c>
      <c r="F175" s="30">
        <f>ROUND(8.78305,5)</f>
        <v>8.78305</v>
      </c>
      <c r="G175" s="26"/>
      <c r="H175" s="42"/>
    </row>
    <row r="176" spans="1:8" ht="12.75" customHeight="1">
      <c r="A176" s="27">
        <v>43867</v>
      </c>
      <c r="B176" s="28"/>
      <c r="C176" s="30">
        <f>ROUND(8.65,5)</f>
        <v>8.65</v>
      </c>
      <c r="D176" s="30">
        <f>F176</f>
        <v>8.81174</v>
      </c>
      <c r="E176" s="30">
        <f>F176</f>
        <v>8.81174</v>
      </c>
      <c r="F176" s="30">
        <f>ROUND(8.81174,5)</f>
        <v>8.81174</v>
      </c>
      <c r="G176" s="26"/>
      <c r="H176" s="42"/>
    </row>
    <row r="177" spans="1:8" ht="12.75" customHeight="1">
      <c r="A177" s="27">
        <v>43958</v>
      </c>
      <c r="B177" s="28"/>
      <c r="C177" s="30">
        <f>ROUND(8.65,5)</f>
        <v>8.65</v>
      </c>
      <c r="D177" s="30">
        <f>F177</f>
        <v>8.8819</v>
      </c>
      <c r="E177" s="30">
        <f>F177</f>
        <v>8.8819</v>
      </c>
      <c r="F177" s="30">
        <f>ROUND(8.8819,5)</f>
        <v>8.8819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43587</v>
      </c>
      <c r="B179" s="28"/>
      <c r="C179" s="30">
        <f>ROUND(3,5)</f>
        <v>3</v>
      </c>
      <c r="D179" s="30">
        <f>F179</f>
        <v>302.60379</v>
      </c>
      <c r="E179" s="30">
        <f>F179</f>
        <v>302.60379</v>
      </c>
      <c r="F179" s="30">
        <f>ROUND(302.60379,5)</f>
        <v>302.60379</v>
      </c>
      <c r="G179" s="26"/>
      <c r="H179" s="42"/>
    </row>
    <row r="180" spans="1:8" ht="12.75" customHeight="1">
      <c r="A180" s="27">
        <v>43678</v>
      </c>
      <c r="B180" s="28"/>
      <c r="C180" s="30">
        <f>ROUND(3,5)</f>
        <v>3</v>
      </c>
      <c r="D180" s="30">
        <f>F180</f>
        <v>300.82821</v>
      </c>
      <c r="E180" s="30">
        <f>F180</f>
        <v>300.82821</v>
      </c>
      <c r="F180" s="30">
        <f>ROUND(300.82821,5)</f>
        <v>300.82821</v>
      </c>
      <c r="G180" s="26"/>
      <c r="H180" s="42"/>
    </row>
    <row r="181" spans="1:8" ht="12.75" customHeight="1">
      <c r="A181" s="27">
        <v>43776</v>
      </c>
      <c r="B181" s="28"/>
      <c r="C181" s="30">
        <f>ROUND(3,5)</f>
        <v>3</v>
      </c>
      <c r="D181" s="30">
        <f>F181</f>
        <v>307.23968</v>
      </c>
      <c r="E181" s="30">
        <f>F181</f>
        <v>307.23968</v>
      </c>
      <c r="F181" s="30">
        <f>ROUND(307.23968,5)</f>
        <v>307.23968</v>
      </c>
      <c r="G181" s="26"/>
      <c r="H181" s="42"/>
    </row>
    <row r="182" spans="1:8" ht="12.75" customHeight="1">
      <c r="A182" s="27">
        <v>43867</v>
      </c>
      <c r="B182" s="28"/>
      <c r="C182" s="30">
        <f>ROUND(3,5)</f>
        <v>3</v>
      </c>
      <c r="D182" s="30">
        <f>F182</f>
        <v>305.77357</v>
      </c>
      <c r="E182" s="30">
        <f>F182</f>
        <v>305.77357</v>
      </c>
      <c r="F182" s="30">
        <f>ROUND(305.77357,5)</f>
        <v>305.77357</v>
      </c>
      <c r="G182" s="26"/>
      <c r="H182" s="42"/>
    </row>
    <row r="183" spans="1:8" ht="12.75" customHeight="1">
      <c r="A183" s="27">
        <v>43958</v>
      </c>
      <c r="B183" s="28"/>
      <c r="C183" s="30">
        <f>ROUND(3,5)</f>
        <v>3</v>
      </c>
      <c r="D183" s="30">
        <f>F183</f>
        <v>311.46786</v>
      </c>
      <c r="E183" s="30">
        <f>F183</f>
        <v>311.46786</v>
      </c>
      <c r="F183" s="30">
        <f>ROUND(311.46786,5)</f>
        <v>311.46786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43587</v>
      </c>
      <c r="B185" s="28"/>
      <c r="C185" s="30">
        <f>ROUND(3.275,5)</f>
        <v>3.275</v>
      </c>
      <c r="D185" s="30">
        <f>F185</f>
        <v>234.64228</v>
      </c>
      <c r="E185" s="30">
        <f>F185</f>
        <v>234.64228</v>
      </c>
      <c r="F185" s="30">
        <f>ROUND(234.64228,5)</f>
        <v>234.64228</v>
      </c>
      <c r="G185" s="26"/>
      <c r="H185" s="42"/>
    </row>
    <row r="186" spans="1:8" ht="12.75" customHeight="1">
      <c r="A186" s="27">
        <v>43678</v>
      </c>
      <c r="B186" s="28"/>
      <c r="C186" s="30">
        <f>ROUND(3.275,5)</f>
        <v>3.275</v>
      </c>
      <c r="D186" s="30">
        <f>F186</f>
        <v>235.11097</v>
      </c>
      <c r="E186" s="30">
        <f>F186</f>
        <v>235.11097</v>
      </c>
      <c r="F186" s="30">
        <f>ROUND(235.11097,5)</f>
        <v>235.11097</v>
      </c>
      <c r="G186" s="26"/>
      <c r="H186" s="42"/>
    </row>
    <row r="187" spans="1:8" ht="12.75" customHeight="1">
      <c r="A187" s="27">
        <v>43776</v>
      </c>
      <c r="B187" s="28"/>
      <c r="C187" s="30">
        <f>ROUND(3.275,5)</f>
        <v>3.275</v>
      </c>
      <c r="D187" s="30">
        <f>F187</f>
        <v>240.12174</v>
      </c>
      <c r="E187" s="30">
        <f>F187</f>
        <v>240.12174</v>
      </c>
      <c r="F187" s="30">
        <f>ROUND(240.12174,5)</f>
        <v>240.12174</v>
      </c>
      <c r="G187" s="26"/>
      <c r="H187" s="42"/>
    </row>
    <row r="188" spans="1:8" ht="12.75" customHeight="1">
      <c r="A188" s="27">
        <v>43867</v>
      </c>
      <c r="B188" s="28"/>
      <c r="C188" s="30">
        <f>ROUND(3.275,5)</f>
        <v>3.275</v>
      </c>
      <c r="D188" s="30">
        <f>F188</f>
        <v>240.91353</v>
      </c>
      <c r="E188" s="30">
        <f>F188</f>
        <v>240.91353</v>
      </c>
      <c r="F188" s="30">
        <f>ROUND(240.91353,5)</f>
        <v>240.91353</v>
      </c>
      <c r="G188" s="26"/>
      <c r="H188" s="42"/>
    </row>
    <row r="189" spans="1:8" ht="12.75" customHeight="1">
      <c r="A189" s="27">
        <v>43958</v>
      </c>
      <c r="B189" s="28"/>
      <c r="C189" s="30">
        <f>ROUND(3.275,5)</f>
        <v>3.275</v>
      </c>
      <c r="D189" s="30">
        <f>F189</f>
        <v>245.40281</v>
      </c>
      <c r="E189" s="30">
        <f>F189</f>
        <v>245.40281</v>
      </c>
      <c r="F189" s="30">
        <f>ROUND(245.40281,5)</f>
        <v>245.40281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43587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43958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43587</v>
      </c>
      <c r="B199" s="28"/>
      <c r="C199" s="30">
        <f>ROUND(6.505,5)</f>
        <v>6.505</v>
      </c>
      <c r="D199" s="30">
        <f>F199</f>
        <v>6.30894</v>
      </c>
      <c r="E199" s="30">
        <f>F199</f>
        <v>6.30894</v>
      </c>
      <c r="F199" s="30">
        <f>ROUND(6.30894,5)</f>
        <v>6.30894</v>
      </c>
      <c r="G199" s="26"/>
      <c r="H199" s="42"/>
    </row>
    <row r="200" spans="1:8" ht="12.75" customHeight="1">
      <c r="A200" s="27">
        <v>43678</v>
      </c>
      <c r="B200" s="28"/>
      <c r="C200" s="30">
        <f>ROUND(6.505,5)</f>
        <v>6.505</v>
      </c>
      <c r="D200" s="30">
        <f>F200</f>
        <v>5.50306</v>
      </c>
      <c r="E200" s="30">
        <f>F200</f>
        <v>5.50306</v>
      </c>
      <c r="F200" s="30">
        <f>ROUND(5.50306,5)</f>
        <v>5.50306</v>
      </c>
      <c r="G200" s="26"/>
      <c r="H200" s="42"/>
    </row>
    <row r="201" spans="1:8" ht="12.75" customHeight="1">
      <c r="A201" s="27">
        <v>43776</v>
      </c>
      <c r="B201" s="28"/>
      <c r="C201" s="30">
        <f>ROUND(6.505,5)</f>
        <v>6.505</v>
      </c>
      <c r="D201" s="30">
        <f>F201</f>
        <v>1.87586</v>
      </c>
      <c r="E201" s="30">
        <f>F201</f>
        <v>1.87586</v>
      </c>
      <c r="F201" s="30">
        <f>ROUND(1.87586,5)</f>
        <v>1.87586</v>
      </c>
      <c r="G201" s="26"/>
      <c r="H201" s="42"/>
    </row>
    <row r="202" spans="1:8" ht="12.75" customHeight="1">
      <c r="A202" s="27">
        <v>43867</v>
      </c>
      <c r="B202" s="28"/>
      <c r="C202" s="30">
        <f>ROUND(6.505,5)</f>
        <v>6.505</v>
      </c>
      <c r="D202" s="30">
        <f>F202</f>
        <v>1.87586</v>
      </c>
      <c r="E202" s="30">
        <f>F202</f>
        <v>1.87586</v>
      </c>
      <c r="F202" s="30">
        <f>ROUND(1.87586,5)</f>
        <v>1.87586</v>
      </c>
      <c r="G202" s="26"/>
      <c r="H202" s="42"/>
    </row>
    <row r="203" spans="1:8" ht="12.75" customHeight="1">
      <c r="A203" s="27">
        <v>43958</v>
      </c>
      <c r="B203" s="28"/>
      <c r="C203" s="30">
        <f>ROUND(6.505,5)</f>
        <v>6.505</v>
      </c>
      <c r="D203" s="30">
        <f>F203</f>
        <v>1.87586</v>
      </c>
      <c r="E203" s="30">
        <f>F203</f>
        <v>1.87586</v>
      </c>
      <c r="F203" s="30">
        <f>ROUND(1.87586,5)</f>
        <v>1.87586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43587</v>
      </c>
      <c r="B205" s="28"/>
      <c r="C205" s="30">
        <f>ROUND(7.035,5)</f>
        <v>7.035</v>
      </c>
      <c r="D205" s="30">
        <f>F205</f>
        <v>7.0042</v>
      </c>
      <c r="E205" s="30">
        <f>F205</f>
        <v>7.0042</v>
      </c>
      <c r="F205" s="30">
        <f>ROUND(7.0042,5)</f>
        <v>7.0042</v>
      </c>
      <c r="G205" s="26"/>
      <c r="H205" s="42"/>
    </row>
    <row r="206" spans="1:8" ht="12.75" customHeight="1">
      <c r="A206" s="27">
        <v>43678</v>
      </c>
      <c r="B206" s="28"/>
      <c r="C206" s="30">
        <f>ROUND(7.035,5)</f>
        <v>7.035</v>
      </c>
      <c r="D206" s="30">
        <f>F206</f>
        <v>6.89988</v>
      </c>
      <c r="E206" s="30">
        <f>F206</f>
        <v>6.89988</v>
      </c>
      <c r="F206" s="30">
        <f>ROUND(6.89988,5)</f>
        <v>6.89988</v>
      </c>
      <c r="G206" s="26"/>
      <c r="H206" s="42"/>
    </row>
    <row r="207" spans="1:8" ht="12.75" customHeight="1">
      <c r="A207" s="27">
        <v>43776</v>
      </c>
      <c r="B207" s="28"/>
      <c r="C207" s="30">
        <f>ROUND(7.035,5)</f>
        <v>7.035</v>
      </c>
      <c r="D207" s="30">
        <f>F207</f>
        <v>6.68832</v>
      </c>
      <c r="E207" s="30">
        <f>F207</f>
        <v>6.68832</v>
      </c>
      <c r="F207" s="30">
        <f>ROUND(6.68832,5)</f>
        <v>6.68832</v>
      </c>
      <c r="G207" s="26"/>
      <c r="H207" s="42"/>
    </row>
    <row r="208" spans="1:8" ht="12.75" customHeight="1">
      <c r="A208" s="27">
        <v>43867</v>
      </c>
      <c r="B208" s="28"/>
      <c r="C208" s="30">
        <f>ROUND(7.035,5)</f>
        <v>7.035</v>
      </c>
      <c r="D208" s="30">
        <f>F208</f>
        <v>6.34161</v>
      </c>
      <c r="E208" s="30">
        <f>F208</f>
        <v>6.34161</v>
      </c>
      <c r="F208" s="30">
        <f>ROUND(6.34161,5)</f>
        <v>6.34161</v>
      </c>
      <c r="G208" s="26"/>
      <c r="H208" s="42"/>
    </row>
    <row r="209" spans="1:8" ht="12.75" customHeight="1">
      <c r="A209" s="27">
        <v>43958</v>
      </c>
      <c r="B209" s="28"/>
      <c r="C209" s="30">
        <f>ROUND(7.035,5)</f>
        <v>7.035</v>
      </c>
      <c r="D209" s="30">
        <f>F209</f>
        <v>6.01536</v>
      </c>
      <c r="E209" s="30">
        <f>F209</f>
        <v>6.01536</v>
      </c>
      <c r="F209" s="30">
        <f>ROUND(6.01536,5)</f>
        <v>6.01536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43587</v>
      </c>
      <c r="B211" s="28"/>
      <c r="C211" s="30">
        <f>ROUND(9.53,5)</f>
        <v>9.53</v>
      </c>
      <c r="D211" s="30">
        <f>F211</f>
        <v>9.56847</v>
      </c>
      <c r="E211" s="30">
        <f>F211</f>
        <v>9.56847</v>
      </c>
      <c r="F211" s="30">
        <f>ROUND(9.56847,5)</f>
        <v>9.56847</v>
      </c>
      <c r="G211" s="26"/>
      <c r="H211" s="42"/>
    </row>
    <row r="212" spans="1:8" ht="12.75" customHeight="1">
      <c r="A212" s="27">
        <v>43678</v>
      </c>
      <c r="B212" s="28"/>
      <c r="C212" s="30">
        <f>ROUND(9.53,5)</f>
        <v>9.53</v>
      </c>
      <c r="D212" s="30">
        <f>F212</f>
        <v>9.62054</v>
      </c>
      <c r="E212" s="30">
        <f>F212</f>
        <v>9.62054</v>
      </c>
      <c r="F212" s="30">
        <f>ROUND(9.62054,5)</f>
        <v>9.62054</v>
      </c>
      <c r="G212" s="26"/>
      <c r="H212" s="42"/>
    </row>
    <row r="213" spans="1:8" ht="12.75" customHeight="1">
      <c r="A213" s="27">
        <v>43776</v>
      </c>
      <c r="B213" s="28"/>
      <c r="C213" s="30">
        <f>ROUND(9.53,5)</f>
        <v>9.53</v>
      </c>
      <c r="D213" s="30">
        <f>F213</f>
        <v>9.67053</v>
      </c>
      <c r="E213" s="30">
        <f>F213</f>
        <v>9.67053</v>
      </c>
      <c r="F213" s="30">
        <f>ROUND(9.67053,5)</f>
        <v>9.67053</v>
      </c>
      <c r="G213" s="26"/>
      <c r="H213" s="42"/>
    </row>
    <row r="214" spans="1:8" ht="12.75" customHeight="1">
      <c r="A214" s="27">
        <v>43867</v>
      </c>
      <c r="B214" s="28"/>
      <c r="C214" s="30">
        <f>ROUND(9.53,5)</f>
        <v>9.53</v>
      </c>
      <c r="D214" s="30">
        <f>F214</f>
        <v>9.71099</v>
      </c>
      <c r="E214" s="30">
        <f>F214</f>
        <v>9.71099</v>
      </c>
      <c r="F214" s="30">
        <f>ROUND(9.71099,5)</f>
        <v>9.71099</v>
      </c>
      <c r="G214" s="26"/>
      <c r="H214" s="42"/>
    </row>
    <row r="215" spans="1:8" ht="12.75" customHeight="1">
      <c r="A215" s="27">
        <v>43958</v>
      </c>
      <c r="B215" s="28"/>
      <c r="C215" s="30">
        <f>ROUND(9.53,5)</f>
        <v>9.53</v>
      </c>
      <c r="D215" s="30">
        <f>F215</f>
        <v>9.77413</v>
      </c>
      <c r="E215" s="30">
        <f>F215</f>
        <v>9.77413</v>
      </c>
      <c r="F215" s="30">
        <f>ROUND(9.77413,5)</f>
        <v>9.77413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43587</v>
      </c>
      <c r="B217" s="28"/>
      <c r="C217" s="30">
        <f>ROUND(3.24,5)</f>
        <v>3.24</v>
      </c>
      <c r="D217" s="30">
        <f>F217</f>
        <v>186.13099</v>
      </c>
      <c r="E217" s="30">
        <f>F217</f>
        <v>186.13099</v>
      </c>
      <c r="F217" s="30">
        <f>ROUND(186.13099,5)</f>
        <v>186.13099</v>
      </c>
      <c r="G217" s="26"/>
      <c r="H217" s="42"/>
    </row>
    <row r="218" spans="1:8" ht="12.75" customHeight="1">
      <c r="A218" s="27">
        <v>43678</v>
      </c>
      <c r="B218" s="28"/>
      <c r="C218" s="30">
        <f>ROUND(3.24,5)</f>
        <v>3.24</v>
      </c>
      <c r="D218" s="30">
        <f>F218</f>
        <v>189.68636</v>
      </c>
      <c r="E218" s="30">
        <f>F218</f>
        <v>189.68636</v>
      </c>
      <c r="F218" s="30">
        <f>ROUND(189.68636,5)</f>
        <v>189.68636</v>
      </c>
      <c r="G218" s="26"/>
      <c r="H218" s="42"/>
    </row>
    <row r="219" spans="1:8" ht="12.75" customHeight="1">
      <c r="A219" s="27">
        <v>43776</v>
      </c>
      <c r="B219" s="28"/>
      <c r="C219" s="30">
        <f>ROUND(3.24,5)</f>
        <v>3.24</v>
      </c>
      <c r="D219" s="30">
        <f>F219</f>
        <v>191.09052</v>
      </c>
      <c r="E219" s="30">
        <f>F219</f>
        <v>191.09052</v>
      </c>
      <c r="F219" s="30">
        <f>ROUND(191.09052,5)</f>
        <v>191.09052</v>
      </c>
      <c r="G219" s="26"/>
      <c r="H219" s="42"/>
    </row>
    <row r="220" spans="1:8" ht="12.75" customHeight="1">
      <c r="A220" s="27">
        <v>43867</v>
      </c>
      <c r="B220" s="28"/>
      <c r="C220" s="30">
        <f>ROUND(3.24,5)</f>
        <v>3.24</v>
      </c>
      <c r="D220" s="30">
        <f>F220</f>
        <v>194.99259</v>
      </c>
      <c r="E220" s="30">
        <f>F220</f>
        <v>194.99259</v>
      </c>
      <c r="F220" s="30">
        <f>ROUND(194.99259,5)</f>
        <v>194.99259</v>
      </c>
      <c r="G220" s="26"/>
      <c r="H220" s="42"/>
    </row>
    <row r="221" spans="1:8" ht="12.75" customHeight="1">
      <c r="A221" s="27">
        <v>43958</v>
      </c>
      <c r="B221" s="28"/>
      <c r="C221" s="30">
        <f>ROUND(3.24,5)</f>
        <v>3.24</v>
      </c>
      <c r="D221" s="30">
        <f>F221</f>
        <v>195.94599</v>
      </c>
      <c r="E221" s="30">
        <f>F221</f>
        <v>195.94599</v>
      </c>
      <c r="F221" s="30">
        <f>ROUND(195.94599,5)</f>
        <v>195.94599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43587</v>
      </c>
      <c r="B223" s="28"/>
      <c r="C223" s="30">
        <f>ROUND(3,5)</f>
        <v>3</v>
      </c>
      <c r="D223" s="30">
        <f>F223</f>
        <v>157.62371</v>
      </c>
      <c r="E223" s="30">
        <f>F223</f>
        <v>157.62371</v>
      </c>
      <c r="F223" s="30">
        <f>ROUND(157.62371,5)</f>
        <v>157.62371</v>
      </c>
      <c r="G223" s="26"/>
      <c r="H223" s="42"/>
    </row>
    <row r="224" spans="1:8" ht="12.75" customHeight="1">
      <c r="A224" s="27">
        <v>43678</v>
      </c>
      <c r="B224" s="28"/>
      <c r="C224" s="30">
        <f>ROUND(3,5)</f>
        <v>3</v>
      </c>
      <c r="D224" s="30">
        <f>F224</f>
        <v>158.4144</v>
      </c>
      <c r="E224" s="30">
        <f>F224</f>
        <v>158.4144</v>
      </c>
      <c r="F224" s="30">
        <f>ROUND(158.4144,5)</f>
        <v>158.4144</v>
      </c>
      <c r="G224" s="26"/>
      <c r="H224" s="42"/>
    </row>
    <row r="225" spans="1:8" ht="12.75" customHeight="1">
      <c r="A225" s="27">
        <v>43776</v>
      </c>
      <c r="B225" s="28"/>
      <c r="C225" s="30">
        <f>ROUND(3,5)</f>
        <v>3</v>
      </c>
      <c r="D225" s="30">
        <f>F225</f>
        <v>161.79062</v>
      </c>
      <c r="E225" s="30">
        <f>F225</f>
        <v>161.79062</v>
      </c>
      <c r="F225" s="30">
        <f>ROUND(161.79062,5)</f>
        <v>161.79062</v>
      </c>
      <c r="G225" s="26"/>
      <c r="H225" s="42"/>
    </row>
    <row r="226" spans="1:8" ht="12.75" customHeight="1">
      <c r="A226" s="27">
        <v>43867</v>
      </c>
      <c r="B226" s="28"/>
      <c r="C226" s="30">
        <f>ROUND(3,5)</f>
        <v>3</v>
      </c>
      <c r="D226" s="30">
        <f>F226</f>
        <v>162.82261</v>
      </c>
      <c r="E226" s="30">
        <f>F226</f>
        <v>162.82261</v>
      </c>
      <c r="F226" s="30">
        <f>ROUND(162.82261,5)</f>
        <v>162.82261</v>
      </c>
      <c r="G226" s="26"/>
      <c r="H226" s="42"/>
    </row>
    <row r="227" spans="1:8" ht="12.75" customHeight="1">
      <c r="A227" s="27">
        <v>43958</v>
      </c>
      <c r="B227" s="28"/>
      <c r="C227" s="30">
        <f>ROUND(3,5)</f>
        <v>3</v>
      </c>
      <c r="D227" s="30">
        <f>F227</f>
        <v>165.85643</v>
      </c>
      <c r="E227" s="30">
        <f>F227</f>
        <v>165.85643</v>
      </c>
      <c r="F227" s="30">
        <f>ROUND(165.85643,5)</f>
        <v>165.85643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43587</v>
      </c>
      <c r="B229" s="28"/>
      <c r="C229" s="30">
        <f>ROUND(9.29,5)</f>
        <v>9.29</v>
      </c>
      <c r="D229" s="30">
        <f>F229</f>
        <v>9.32945</v>
      </c>
      <c r="E229" s="30">
        <f>F229</f>
        <v>9.32945</v>
      </c>
      <c r="F229" s="30">
        <f>ROUND(9.32945,5)</f>
        <v>9.32945</v>
      </c>
      <c r="G229" s="26"/>
      <c r="H229" s="42"/>
    </row>
    <row r="230" spans="1:8" ht="12.75" customHeight="1">
      <c r="A230" s="27">
        <v>43678</v>
      </c>
      <c r="B230" s="28"/>
      <c r="C230" s="30">
        <f>ROUND(9.29,5)</f>
        <v>9.29</v>
      </c>
      <c r="D230" s="30">
        <f>F230</f>
        <v>9.38356</v>
      </c>
      <c r="E230" s="30">
        <f>F230</f>
        <v>9.38356</v>
      </c>
      <c r="F230" s="30">
        <f>ROUND(9.38356,5)</f>
        <v>9.38356</v>
      </c>
      <c r="G230" s="26"/>
      <c r="H230" s="42"/>
    </row>
    <row r="231" spans="1:8" ht="12.75" customHeight="1">
      <c r="A231" s="27">
        <v>43776</v>
      </c>
      <c r="B231" s="28"/>
      <c r="C231" s="30">
        <f>ROUND(9.29,5)</f>
        <v>9.29</v>
      </c>
      <c r="D231" s="30">
        <f>F231</f>
        <v>9.43811</v>
      </c>
      <c r="E231" s="30">
        <f>F231</f>
        <v>9.43811</v>
      </c>
      <c r="F231" s="30">
        <f>ROUND(9.43811,5)</f>
        <v>9.43811</v>
      </c>
      <c r="G231" s="26"/>
      <c r="H231" s="42"/>
    </row>
    <row r="232" spans="1:8" ht="12.75" customHeight="1">
      <c r="A232" s="27">
        <v>43867</v>
      </c>
      <c r="B232" s="28"/>
      <c r="C232" s="30">
        <f>ROUND(9.29,5)</f>
        <v>9.29</v>
      </c>
      <c r="D232" s="30">
        <f>F232</f>
        <v>9.48404</v>
      </c>
      <c r="E232" s="30">
        <f>F232</f>
        <v>9.48404</v>
      </c>
      <c r="F232" s="30">
        <f>ROUND(9.48404,5)</f>
        <v>9.48404</v>
      </c>
      <c r="G232" s="26"/>
      <c r="H232" s="42"/>
    </row>
    <row r="233" spans="1:8" ht="12.75" customHeight="1">
      <c r="A233" s="27">
        <v>43958</v>
      </c>
      <c r="B233" s="28"/>
      <c r="C233" s="30">
        <f>ROUND(9.29,5)</f>
        <v>9.29</v>
      </c>
      <c r="D233" s="30">
        <f>F233</f>
        <v>9.55181</v>
      </c>
      <c r="E233" s="30">
        <f>F233</f>
        <v>9.55181</v>
      </c>
      <c r="F233" s="30">
        <f>ROUND(9.55181,5)</f>
        <v>9.55181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43587</v>
      </c>
      <c r="B235" s="28"/>
      <c r="C235" s="30">
        <f>ROUND(9.715,5)</f>
        <v>9.715</v>
      </c>
      <c r="D235" s="30">
        <f>F235</f>
        <v>9.75258</v>
      </c>
      <c r="E235" s="30">
        <f>F235</f>
        <v>9.75258</v>
      </c>
      <c r="F235" s="30">
        <f>ROUND(9.75258,5)</f>
        <v>9.75258</v>
      </c>
      <c r="G235" s="26"/>
      <c r="H235" s="42"/>
    </row>
    <row r="236" spans="1:8" ht="12.75" customHeight="1">
      <c r="A236" s="27">
        <v>43678</v>
      </c>
      <c r="B236" s="28"/>
      <c r="C236" s="30">
        <f>ROUND(9.715,5)</f>
        <v>9.715</v>
      </c>
      <c r="D236" s="30">
        <f>F236</f>
        <v>9.80511</v>
      </c>
      <c r="E236" s="30">
        <f>F236</f>
        <v>9.80511</v>
      </c>
      <c r="F236" s="30">
        <f>ROUND(9.80511,5)</f>
        <v>9.80511</v>
      </c>
      <c r="G236" s="26"/>
      <c r="H236" s="42"/>
    </row>
    <row r="237" spans="1:8" ht="12.75" customHeight="1">
      <c r="A237" s="27">
        <v>43776</v>
      </c>
      <c r="B237" s="28"/>
      <c r="C237" s="30">
        <f>ROUND(9.715,5)</f>
        <v>9.715</v>
      </c>
      <c r="D237" s="30">
        <f>F237</f>
        <v>9.85848</v>
      </c>
      <c r="E237" s="30">
        <f>F237</f>
        <v>9.85848</v>
      </c>
      <c r="F237" s="30">
        <f>ROUND(9.85848,5)</f>
        <v>9.85848</v>
      </c>
      <c r="G237" s="26"/>
      <c r="H237" s="42"/>
    </row>
    <row r="238" spans="1:8" ht="12.75" customHeight="1">
      <c r="A238" s="27">
        <v>43867</v>
      </c>
      <c r="B238" s="28"/>
      <c r="C238" s="30">
        <f>ROUND(9.715,5)</f>
        <v>9.715</v>
      </c>
      <c r="D238" s="30">
        <f>F238</f>
        <v>9.90434</v>
      </c>
      <c r="E238" s="30">
        <f>F238</f>
        <v>9.90434</v>
      </c>
      <c r="F238" s="30">
        <f>ROUND(9.90434,5)</f>
        <v>9.90434</v>
      </c>
      <c r="G238" s="26"/>
      <c r="H238" s="42"/>
    </row>
    <row r="239" spans="1:8" ht="12.75" customHeight="1">
      <c r="A239" s="27">
        <v>43958</v>
      </c>
      <c r="B239" s="28"/>
      <c r="C239" s="30">
        <f>ROUND(9.715,5)</f>
        <v>9.715</v>
      </c>
      <c r="D239" s="30">
        <f>F239</f>
        <v>9.96609</v>
      </c>
      <c r="E239" s="30">
        <f>F239</f>
        <v>9.96609</v>
      </c>
      <c r="F239" s="30">
        <f>ROUND(9.96609,5)</f>
        <v>9.96609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43587</v>
      </c>
      <c r="B241" s="28"/>
      <c r="C241" s="30">
        <f>ROUND(9.705,5)</f>
        <v>9.705</v>
      </c>
      <c r="D241" s="30">
        <f>F241</f>
        <v>9.74219</v>
      </c>
      <c r="E241" s="30">
        <f>F241</f>
        <v>9.74219</v>
      </c>
      <c r="F241" s="30">
        <f>ROUND(9.74219,5)</f>
        <v>9.74219</v>
      </c>
      <c r="G241" s="26"/>
      <c r="H241" s="42"/>
    </row>
    <row r="242" spans="1:8" ht="12.75" customHeight="1">
      <c r="A242" s="27">
        <v>43678</v>
      </c>
      <c r="B242" s="28"/>
      <c r="C242" s="30">
        <f>ROUND(9.705,5)</f>
        <v>9.705</v>
      </c>
      <c r="D242" s="30">
        <f>F242</f>
        <v>9.79417</v>
      </c>
      <c r="E242" s="30">
        <f>F242</f>
        <v>9.79417</v>
      </c>
      <c r="F242" s="30">
        <f>ROUND(9.79417,5)</f>
        <v>9.79417</v>
      </c>
      <c r="G242" s="26"/>
      <c r="H242" s="42"/>
    </row>
    <row r="243" spans="1:8" ht="12.75" customHeight="1">
      <c r="A243" s="27">
        <v>43776</v>
      </c>
      <c r="B243" s="28"/>
      <c r="C243" s="30">
        <f>ROUND(9.705,5)</f>
        <v>9.705</v>
      </c>
      <c r="D243" s="30">
        <f>F243</f>
        <v>9.84686</v>
      </c>
      <c r="E243" s="30">
        <f>F243</f>
        <v>9.84686</v>
      </c>
      <c r="F243" s="30">
        <f>ROUND(9.84686,5)</f>
        <v>9.84686</v>
      </c>
      <c r="G243" s="26"/>
      <c r="H243" s="42"/>
    </row>
    <row r="244" spans="1:8" ht="12.75" customHeight="1">
      <c r="A244" s="27">
        <v>43867</v>
      </c>
      <c r="B244" s="28"/>
      <c r="C244" s="30">
        <f>ROUND(9.705,5)</f>
        <v>9.705</v>
      </c>
      <c r="D244" s="30">
        <f>F244</f>
        <v>9.8921</v>
      </c>
      <c r="E244" s="30">
        <f>F244</f>
        <v>9.8921</v>
      </c>
      <c r="F244" s="30">
        <f>ROUND(9.8921,5)</f>
        <v>9.8921</v>
      </c>
      <c r="G244" s="26"/>
      <c r="H244" s="42"/>
    </row>
    <row r="245" spans="1:8" ht="12.75" customHeight="1">
      <c r="A245" s="27">
        <v>43958</v>
      </c>
      <c r="B245" s="28"/>
      <c r="C245" s="30">
        <f>ROUND(9.705,5)</f>
        <v>9.705</v>
      </c>
      <c r="D245" s="30">
        <f>F245</f>
        <v>9.95307</v>
      </c>
      <c r="E245" s="30">
        <f>F245</f>
        <v>9.95307</v>
      </c>
      <c r="F245" s="30">
        <f>ROUND(9.95307,5)</f>
        <v>9.95307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43553</v>
      </c>
      <c r="B247" s="28"/>
      <c r="C247" s="32">
        <f>ROUND(16.0102,4)</f>
        <v>16.0102</v>
      </c>
      <c r="D247" s="32">
        <f>F247</f>
        <v>16.0871</v>
      </c>
      <c r="E247" s="32">
        <f>F247</f>
        <v>16.0871</v>
      </c>
      <c r="F247" s="32">
        <f>ROUND(16.0871,4)</f>
        <v>16.0871</v>
      </c>
      <c r="G247" s="26"/>
      <c r="H247" s="42"/>
    </row>
    <row r="248" spans="1:8" ht="12.75" customHeight="1">
      <c r="A248" s="27">
        <v>43570</v>
      </c>
      <c r="B248" s="28"/>
      <c r="C248" s="32">
        <f>ROUND(16.0102,4)</f>
        <v>16.0102</v>
      </c>
      <c r="D248" s="32">
        <f>F248</f>
        <v>16.1429</v>
      </c>
      <c r="E248" s="32">
        <f>F248</f>
        <v>16.1429</v>
      </c>
      <c r="F248" s="32">
        <f>ROUND(16.1429,4)</f>
        <v>16.1429</v>
      </c>
      <c r="G248" s="26"/>
      <c r="H248" s="42"/>
    </row>
    <row r="249" spans="1:8" ht="12.75" customHeight="1">
      <c r="A249" s="27">
        <v>43581</v>
      </c>
      <c r="B249" s="28"/>
      <c r="C249" s="32">
        <f>ROUND(16.0102,4)</f>
        <v>16.0102</v>
      </c>
      <c r="D249" s="32">
        <f>F249</f>
        <v>16.179</v>
      </c>
      <c r="E249" s="32">
        <f>F249</f>
        <v>16.179</v>
      </c>
      <c r="F249" s="32">
        <f>ROUND(16.179,4)</f>
        <v>16.179</v>
      </c>
      <c r="G249" s="26"/>
      <c r="H249" s="42"/>
    </row>
    <row r="250" spans="1:8" ht="12.75" customHeight="1">
      <c r="A250" s="27">
        <v>43626</v>
      </c>
      <c r="B250" s="28"/>
      <c r="C250" s="32">
        <f>ROUND(16.0102,4)</f>
        <v>16.0102</v>
      </c>
      <c r="D250" s="32">
        <f>F250</f>
        <v>16.3278</v>
      </c>
      <c r="E250" s="32">
        <f>F250</f>
        <v>16.3278</v>
      </c>
      <c r="F250" s="32">
        <f>ROUND(16.3278,4)</f>
        <v>16.3278</v>
      </c>
      <c r="G250" s="26"/>
      <c r="H250" s="42"/>
    </row>
    <row r="251" spans="1:8" ht="12.75" customHeight="1">
      <c r="A251" s="27">
        <v>43691</v>
      </c>
      <c r="B251" s="28"/>
      <c r="C251" s="32">
        <f>ROUND(16.0102,4)</f>
        <v>16.0102</v>
      </c>
      <c r="D251" s="32">
        <f>F251</f>
        <v>16.5484</v>
      </c>
      <c r="E251" s="32">
        <f>F251</f>
        <v>16.5484</v>
      </c>
      <c r="F251" s="32">
        <f>ROUND(16.5484,4)</f>
        <v>16.5484</v>
      </c>
      <c r="G251" s="26"/>
      <c r="H251" s="42"/>
    </row>
    <row r="252" spans="1:8" ht="12.75" customHeight="1">
      <c r="A252" s="27">
        <v>43871</v>
      </c>
      <c r="B252" s="28"/>
      <c r="C252" s="32">
        <f>ROUND(16.0102,4)</f>
        <v>16.0102</v>
      </c>
      <c r="D252" s="32">
        <f>F252</f>
        <v>17.1785</v>
      </c>
      <c r="E252" s="32">
        <f>F252</f>
        <v>17.1785</v>
      </c>
      <c r="F252" s="32">
        <f>ROUND(17.1785,4)</f>
        <v>17.1785</v>
      </c>
      <c r="G252" s="26"/>
      <c r="H252" s="42"/>
    </row>
    <row r="253" spans="1:8" ht="12.75" customHeight="1">
      <c r="A253" s="27">
        <v>43880</v>
      </c>
      <c r="B253" s="28"/>
      <c r="C253" s="32">
        <f>ROUND(16.0102,4)</f>
        <v>16.0102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ROUND(16.0102,4)</f>
        <v>16.0102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ROUND(16.0102,4)</f>
        <v>16.0102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ROUND(16.0102,4)</f>
        <v>16.0102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43553</v>
      </c>
      <c r="B258" s="28"/>
      <c r="C258" s="32">
        <f>ROUND(18.5683,4)</f>
        <v>18.5683</v>
      </c>
      <c r="D258" s="32">
        <f>F258</f>
        <v>18.6429</v>
      </c>
      <c r="E258" s="32">
        <f>F258</f>
        <v>18.6429</v>
      </c>
      <c r="F258" s="32">
        <f>ROUND(18.6429,4)</f>
        <v>18.6429</v>
      </c>
      <c r="G258" s="26"/>
      <c r="H258" s="42"/>
    </row>
    <row r="259" spans="1:8" ht="12.75" customHeight="1">
      <c r="A259" s="27">
        <v>43570</v>
      </c>
      <c r="B259" s="28"/>
      <c r="C259" s="32">
        <f>ROUND(18.5683,4)</f>
        <v>18.5683</v>
      </c>
      <c r="D259" s="32">
        <f>F259</f>
        <v>18.6969</v>
      </c>
      <c r="E259" s="32">
        <f>F259</f>
        <v>18.6969</v>
      </c>
      <c r="F259" s="32">
        <f>ROUND(18.6969,4)</f>
        <v>18.6969</v>
      </c>
      <c r="G259" s="26"/>
      <c r="H259" s="42"/>
    </row>
    <row r="260" spans="1:8" ht="12.75" customHeight="1">
      <c r="A260" s="27">
        <v>43581</v>
      </c>
      <c r="B260" s="28"/>
      <c r="C260" s="32">
        <f>ROUND(18.5683,4)</f>
        <v>18.5683</v>
      </c>
      <c r="D260" s="32">
        <f>F260</f>
        <v>18.7316</v>
      </c>
      <c r="E260" s="32">
        <f>F260</f>
        <v>18.7316</v>
      </c>
      <c r="F260" s="32">
        <f>ROUND(18.7316,4)</f>
        <v>18.7316</v>
      </c>
      <c r="G260" s="26"/>
      <c r="H260" s="42"/>
    </row>
    <row r="261" spans="1:8" ht="12.75" customHeight="1">
      <c r="A261" s="27">
        <v>43584</v>
      </c>
      <c r="B261" s="28"/>
      <c r="C261" s="32">
        <f>ROUND(18.5683,4)</f>
        <v>18.5683</v>
      </c>
      <c r="D261" s="32">
        <f>F261</f>
        <v>18.7411</v>
      </c>
      <c r="E261" s="32">
        <f>F261</f>
        <v>18.7411</v>
      </c>
      <c r="F261" s="32">
        <f>ROUND(18.7411,4)</f>
        <v>18.7411</v>
      </c>
      <c r="G261" s="26"/>
      <c r="H261" s="42"/>
    </row>
    <row r="262" spans="1:8" ht="12.75" customHeight="1">
      <c r="A262" s="27">
        <v>46131</v>
      </c>
      <c r="B262" s="28"/>
      <c r="C262" s="32">
        <f>ROUND(18.5683,4)</f>
        <v>18.5683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ROUND(18.5683,4)</f>
        <v>18.5683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ROUND(18.5683,4)</f>
        <v>18.5683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43529</v>
      </c>
      <c r="B266" s="28"/>
      <c r="C266" s="32">
        <f>ROUND(14.1343,4)</f>
        <v>14.1343</v>
      </c>
      <c r="D266" s="32">
        <f>F266</f>
        <v>14.1343</v>
      </c>
      <c r="E266" s="32">
        <f>F266</f>
        <v>14.1343</v>
      </c>
      <c r="F266" s="32">
        <f>ROUND(14.1343,4)</f>
        <v>14.1343</v>
      </c>
      <c r="G266" s="26"/>
      <c r="H266" s="42"/>
    </row>
    <row r="267" spans="1:8" ht="12.75" customHeight="1">
      <c r="A267" s="27">
        <v>43532</v>
      </c>
      <c r="B267" s="28"/>
      <c r="C267" s="32">
        <f>ROUND(14.1343,4)</f>
        <v>14.1343</v>
      </c>
      <c r="D267" s="32">
        <f>F267</f>
        <v>14.1393</v>
      </c>
      <c r="E267" s="32">
        <f>F267</f>
        <v>14.1393</v>
      </c>
      <c r="F267" s="32">
        <f>ROUND(14.1393,4)</f>
        <v>14.1393</v>
      </c>
      <c r="G267" s="26"/>
      <c r="H267" s="42"/>
    </row>
    <row r="268" spans="1:8" ht="12.75" customHeight="1">
      <c r="A268" s="27">
        <v>43535</v>
      </c>
      <c r="B268" s="28"/>
      <c r="C268" s="32">
        <f>ROUND(14.1343,4)</f>
        <v>14.1343</v>
      </c>
      <c r="D268" s="32">
        <f>F268</f>
        <v>14.1443</v>
      </c>
      <c r="E268" s="32">
        <f>F268</f>
        <v>14.1443</v>
      </c>
      <c r="F268" s="32">
        <f>ROUND(14.1443,4)</f>
        <v>14.1443</v>
      </c>
      <c r="G268" s="26"/>
      <c r="H268" s="42"/>
    </row>
    <row r="269" spans="1:8" ht="12.75" customHeight="1">
      <c r="A269" s="27">
        <v>43546</v>
      </c>
      <c r="B269" s="28"/>
      <c r="C269" s="32">
        <f>ROUND(14.1343,4)</f>
        <v>14.1343</v>
      </c>
      <c r="D269" s="32">
        <f>F269</f>
        <v>14.1626</v>
      </c>
      <c r="E269" s="32">
        <f>F269</f>
        <v>14.1626</v>
      </c>
      <c r="F269" s="32">
        <f>ROUND(14.1626,4)</f>
        <v>14.1626</v>
      </c>
      <c r="G269" s="26"/>
      <c r="H269" s="42"/>
    </row>
    <row r="270" spans="1:8" ht="12.75" customHeight="1">
      <c r="A270" s="27">
        <v>43551</v>
      </c>
      <c r="B270" s="28"/>
      <c r="C270" s="32">
        <f>ROUND(14.1343,4)</f>
        <v>14.1343</v>
      </c>
      <c r="D270" s="32">
        <f>F270</f>
        <v>14.1709</v>
      </c>
      <c r="E270" s="32">
        <f>F270</f>
        <v>14.1709</v>
      </c>
      <c r="F270" s="32">
        <f>ROUND(14.1709,4)</f>
        <v>14.1709</v>
      </c>
      <c r="G270" s="26"/>
      <c r="H270" s="42"/>
    </row>
    <row r="271" spans="1:8" ht="12.75" customHeight="1">
      <c r="A271" s="27">
        <v>43552</v>
      </c>
      <c r="B271" s="28"/>
      <c r="C271" s="32">
        <f>ROUND(14.1343,4)</f>
        <v>14.1343</v>
      </c>
      <c r="D271" s="32">
        <f>F271</f>
        <v>14.1725</v>
      </c>
      <c r="E271" s="32">
        <f>F271</f>
        <v>14.1725</v>
      </c>
      <c r="F271" s="32">
        <f>ROUND(14.1725,4)</f>
        <v>14.1725</v>
      </c>
      <c r="G271" s="26"/>
      <c r="H271" s="42"/>
    </row>
    <row r="272" spans="1:8" ht="12.75" customHeight="1">
      <c r="A272" s="27">
        <v>43553</v>
      </c>
      <c r="B272" s="28"/>
      <c r="C272" s="32">
        <f>ROUND(14.1343,4)</f>
        <v>14.1343</v>
      </c>
      <c r="D272" s="32">
        <f>F272</f>
        <v>14.1742</v>
      </c>
      <c r="E272" s="32">
        <f>F272</f>
        <v>14.1742</v>
      </c>
      <c r="F272" s="32">
        <f>ROUND(14.1742,4)</f>
        <v>14.1742</v>
      </c>
      <c r="G272" s="26"/>
      <c r="H272" s="42"/>
    </row>
    <row r="273" spans="1:8" ht="12.75" customHeight="1">
      <c r="A273" s="27">
        <v>43557</v>
      </c>
      <c r="B273" s="28"/>
      <c r="C273" s="32">
        <f>ROUND(14.1343,4)</f>
        <v>14.1343</v>
      </c>
      <c r="D273" s="32">
        <f>F273</f>
        <v>14.1809</v>
      </c>
      <c r="E273" s="32">
        <f>F273</f>
        <v>14.1809</v>
      </c>
      <c r="F273" s="32">
        <f>ROUND(14.1809,4)</f>
        <v>14.1809</v>
      </c>
      <c r="G273" s="26"/>
      <c r="H273" s="42"/>
    </row>
    <row r="274" spans="1:8" ht="12.75" customHeight="1">
      <c r="A274" s="27">
        <v>43559</v>
      </c>
      <c r="B274" s="28"/>
      <c r="C274" s="32">
        <f>ROUND(14.1343,4)</f>
        <v>14.1343</v>
      </c>
      <c r="D274" s="32">
        <f>F274</f>
        <v>14.1842</v>
      </c>
      <c r="E274" s="32">
        <f>F274</f>
        <v>14.1842</v>
      </c>
      <c r="F274" s="32">
        <f>ROUND(14.1842,4)</f>
        <v>14.1842</v>
      </c>
      <c r="G274" s="26"/>
      <c r="H274" s="42"/>
    </row>
    <row r="275" spans="1:8" ht="12.75" customHeight="1">
      <c r="A275" s="27">
        <v>43560</v>
      </c>
      <c r="B275" s="28"/>
      <c r="C275" s="32">
        <f>ROUND(14.1343,4)</f>
        <v>14.1343</v>
      </c>
      <c r="D275" s="32">
        <f>F275</f>
        <v>14.1858</v>
      </c>
      <c r="E275" s="32">
        <f>F275</f>
        <v>14.1858</v>
      </c>
      <c r="F275" s="32">
        <f>ROUND(14.1858,4)</f>
        <v>14.1858</v>
      </c>
      <c r="G275" s="26"/>
      <c r="H275" s="42"/>
    </row>
    <row r="276" spans="1:8" ht="12.75" customHeight="1">
      <c r="A276" s="27">
        <v>43570</v>
      </c>
      <c r="B276" s="28"/>
      <c r="C276" s="32">
        <f>ROUND(14.1343,4)</f>
        <v>14.1343</v>
      </c>
      <c r="D276" s="32">
        <f>F276</f>
        <v>14.2028</v>
      </c>
      <c r="E276" s="32">
        <f>F276</f>
        <v>14.2028</v>
      </c>
      <c r="F276" s="32">
        <f>ROUND(14.2028,4)</f>
        <v>14.2028</v>
      </c>
      <c r="G276" s="26"/>
      <c r="H276" s="42"/>
    </row>
    <row r="277" spans="1:8" ht="12.75" customHeight="1">
      <c r="A277" s="27">
        <v>43581</v>
      </c>
      <c r="B277" s="28"/>
      <c r="C277" s="32">
        <f>ROUND(14.1343,4)</f>
        <v>14.1343</v>
      </c>
      <c r="D277" s="32">
        <f>F277</f>
        <v>14.2215</v>
      </c>
      <c r="E277" s="32">
        <f>F277</f>
        <v>14.2215</v>
      </c>
      <c r="F277" s="32">
        <f>ROUND(14.2215,4)</f>
        <v>14.2215</v>
      </c>
      <c r="G277" s="26"/>
      <c r="H277" s="42"/>
    </row>
    <row r="278" spans="1:8" ht="12.75" customHeight="1">
      <c r="A278" s="27">
        <v>43584</v>
      </c>
      <c r="B278" s="28"/>
      <c r="C278" s="32">
        <f>ROUND(14.1343,4)</f>
        <v>14.1343</v>
      </c>
      <c r="D278" s="32">
        <f>F278</f>
        <v>14.2267</v>
      </c>
      <c r="E278" s="32">
        <f>F278</f>
        <v>14.2267</v>
      </c>
      <c r="F278" s="32">
        <f>ROUND(14.2267,4)</f>
        <v>14.2267</v>
      </c>
      <c r="G278" s="26"/>
      <c r="H278" s="42"/>
    </row>
    <row r="279" spans="1:8" ht="12.75" customHeight="1">
      <c r="A279" s="27">
        <v>43585</v>
      </c>
      <c r="B279" s="28"/>
      <c r="C279" s="32">
        <f>ROUND(14.1343,4)</f>
        <v>14.1343</v>
      </c>
      <c r="D279" s="32">
        <f>F279</f>
        <v>14.2284</v>
      </c>
      <c r="E279" s="32">
        <f>F279</f>
        <v>14.2284</v>
      </c>
      <c r="F279" s="32">
        <f>ROUND(14.2284,4)</f>
        <v>14.2284</v>
      </c>
      <c r="G279" s="26"/>
      <c r="H279" s="42"/>
    </row>
    <row r="280" spans="1:8" ht="12.75" customHeight="1">
      <c r="A280" s="27">
        <v>43594</v>
      </c>
      <c r="B280" s="28"/>
      <c r="C280" s="32">
        <f>ROUND(14.1343,4)</f>
        <v>14.1343</v>
      </c>
      <c r="D280" s="32">
        <f>F280</f>
        <v>14.2437</v>
      </c>
      <c r="E280" s="32">
        <f>F280</f>
        <v>14.2437</v>
      </c>
      <c r="F280" s="32">
        <f>ROUND(14.2437,4)</f>
        <v>14.2437</v>
      </c>
      <c r="G280" s="26"/>
      <c r="H280" s="42"/>
    </row>
    <row r="281" spans="1:8" ht="12.75" customHeight="1">
      <c r="A281" s="27">
        <v>43598</v>
      </c>
      <c r="B281" s="28"/>
      <c r="C281" s="32">
        <f>ROUND(14.1343,4)</f>
        <v>14.1343</v>
      </c>
      <c r="D281" s="32">
        <f>F281</f>
        <v>14.2505</v>
      </c>
      <c r="E281" s="32">
        <f>F281</f>
        <v>14.2505</v>
      </c>
      <c r="F281" s="32">
        <f>ROUND(14.2505,4)</f>
        <v>14.2505</v>
      </c>
      <c r="G281" s="26"/>
      <c r="H281" s="42"/>
    </row>
    <row r="282" spans="1:8" ht="12.75" customHeight="1">
      <c r="A282" s="27">
        <v>43605</v>
      </c>
      <c r="B282" s="28"/>
      <c r="C282" s="32">
        <f>ROUND(14.1343,4)</f>
        <v>14.1343</v>
      </c>
      <c r="D282" s="32">
        <f>F282</f>
        <v>14.2625</v>
      </c>
      <c r="E282" s="32">
        <f>F282</f>
        <v>14.2625</v>
      </c>
      <c r="F282" s="32">
        <f>ROUND(14.2625,4)</f>
        <v>14.2625</v>
      </c>
      <c r="G282" s="26"/>
      <c r="H282" s="42"/>
    </row>
    <row r="283" spans="1:8" ht="12.75" customHeight="1">
      <c r="A283" s="27">
        <v>43614</v>
      </c>
      <c r="B283" s="28"/>
      <c r="C283" s="32">
        <f>ROUND(14.1343,4)</f>
        <v>14.1343</v>
      </c>
      <c r="D283" s="32">
        <f>F283</f>
        <v>14.2779</v>
      </c>
      <c r="E283" s="32">
        <f>F283</f>
        <v>14.2779</v>
      </c>
      <c r="F283" s="32">
        <f>ROUND(14.2779,4)</f>
        <v>14.2779</v>
      </c>
      <c r="G283" s="26"/>
      <c r="H283" s="42"/>
    </row>
    <row r="284" spans="1:8" ht="12.75" customHeight="1">
      <c r="A284" s="27">
        <v>43616</v>
      </c>
      <c r="B284" s="28"/>
      <c r="C284" s="32">
        <f>ROUND(14.1343,4)</f>
        <v>14.1343</v>
      </c>
      <c r="D284" s="32">
        <f>F284</f>
        <v>14.2813</v>
      </c>
      <c r="E284" s="32">
        <f>F284</f>
        <v>14.2813</v>
      </c>
      <c r="F284" s="32">
        <f>ROUND(14.2813,4)</f>
        <v>14.2813</v>
      </c>
      <c r="G284" s="26"/>
      <c r="H284" s="42"/>
    </row>
    <row r="285" spans="1:8" ht="12.75" customHeight="1">
      <c r="A285" s="27">
        <v>43619</v>
      </c>
      <c r="B285" s="28"/>
      <c r="C285" s="32">
        <f>ROUND(14.1343,4)</f>
        <v>14.1343</v>
      </c>
      <c r="D285" s="32">
        <f>F285</f>
        <v>14.2864</v>
      </c>
      <c r="E285" s="32">
        <f>F285</f>
        <v>14.2864</v>
      </c>
      <c r="F285" s="32">
        <f>ROUND(14.2864,4)</f>
        <v>14.2864</v>
      </c>
      <c r="G285" s="26"/>
      <c r="H285" s="42"/>
    </row>
    <row r="286" spans="1:8" ht="12.75" customHeight="1">
      <c r="A286" s="27">
        <v>43620</v>
      </c>
      <c r="B286" s="28"/>
      <c r="C286" s="32">
        <f>ROUND(14.1343,4)</f>
        <v>14.1343</v>
      </c>
      <c r="D286" s="32">
        <f>F286</f>
        <v>14.2881</v>
      </c>
      <c r="E286" s="32">
        <f>F286</f>
        <v>14.2881</v>
      </c>
      <c r="F286" s="32">
        <f>ROUND(14.2881,4)</f>
        <v>14.2881</v>
      </c>
      <c r="G286" s="26"/>
      <c r="H286" s="42"/>
    </row>
    <row r="287" spans="1:8" ht="12.75" customHeight="1">
      <c r="A287" s="27">
        <v>43626</v>
      </c>
      <c r="B287" s="28"/>
      <c r="C287" s="32">
        <f>ROUND(14.1343,4)</f>
        <v>14.1343</v>
      </c>
      <c r="D287" s="32">
        <f>F287</f>
        <v>14.2987</v>
      </c>
      <c r="E287" s="32">
        <f>F287</f>
        <v>14.2987</v>
      </c>
      <c r="F287" s="32">
        <f>ROUND(14.2987,4)</f>
        <v>14.2987</v>
      </c>
      <c r="G287" s="26"/>
      <c r="H287" s="42"/>
    </row>
    <row r="288" spans="1:8" ht="12.75" customHeight="1">
      <c r="A288" s="27">
        <v>43636</v>
      </c>
      <c r="B288" s="28"/>
      <c r="C288" s="32">
        <f>ROUND(14.1343,4)</f>
        <v>14.1343</v>
      </c>
      <c r="D288" s="32">
        <f>F288</f>
        <v>14.3164</v>
      </c>
      <c r="E288" s="32">
        <f>F288</f>
        <v>14.3164</v>
      </c>
      <c r="F288" s="32">
        <f>ROUND(14.3164,4)</f>
        <v>14.3164</v>
      </c>
      <c r="G288" s="26"/>
      <c r="H288" s="42"/>
    </row>
    <row r="289" spans="1:8" ht="12.75" customHeight="1">
      <c r="A289" s="27">
        <v>43644</v>
      </c>
      <c r="B289" s="28"/>
      <c r="C289" s="32">
        <f>ROUND(14.1343,4)</f>
        <v>14.1343</v>
      </c>
      <c r="D289" s="32">
        <f>F289</f>
        <v>14.3305</v>
      </c>
      <c r="E289" s="32">
        <f>F289</f>
        <v>14.3305</v>
      </c>
      <c r="F289" s="32">
        <f>ROUND(14.3305,4)</f>
        <v>14.3305</v>
      </c>
      <c r="G289" s="26"/>
      <c r="H289" s="42"/>
    </row>
    <row r="290" spans="1:8" ht="12.75" customHeight="1">
      <c r="A290" s="27">
        <v>43647</v>
      </c>
      <c r="B290" s="28"/>
      <c r="C290" s="32">
        <f>ROUND(14.1343,4)</f>
        <v>14.1343</v>
      </c>
      <c r="D290" s="32">
        <f>F290</f>
        <v>14.3358</v>
      </c>
      <c r="E290" s="32">
        <f>F290</f>
        <v>14.3358</v>
      </c>
      <c r="F290" s="32">
        <f>ROUND(14.3358,4)</f>
        <v>14.3358</v>
      </c>
      <c r="G290" s="26"/>
      <c r="H290" s="42"/>
    </row>
    <row r="291" spans="1:8" ht="12.75" customHeight="1">
      <c r="A291" s="27">
        <v>43649</v>
      </c>
      <c r="B291" s="28"/>
      <c r="C291" s="32">
        <f>ROUND(14.1343,4)</f>
        <v>14.1343</v>
      </c>
      <c r="D291" s="32">
        <f>F291</f>
        <v>14.3393</v>
      </c>
      <c r="E291" s="32">
        <f>F291</f>
        <v>14.3393</v>
      </c>
      <c r="F291" s="32">
        <f>ROUND(14.3393,4)</f>
        <v>14.3393</v>
      </c>
      <c r="G291" s="26"/>
      <c r="H291" s="42"/>
    </row>
    <row r="292" spans="1:8" ht="12.75" customHeight="1">
      <c r="A292" s="27">
        <v>43677</v>
      </c>
      <c r="B292" s="28"/>
      <c r="C292" s="32">
        <f>ROUND(14.1343,4)</f>
        <v>14.1343</v>
      </c>
      <c r="D292" s="32">
        <f>F292</f>
        <v>14.3885</v>
      </c>
      <c r="E292" s="32">
        <f>F292</f>
        <v>14.3885</v>
      </c>
      <c r="F292" s="32">
        <f>ROUND(14.3885,4)</f>
        <v>14.3885</v>
      </c>
      <c r="G292" s="26"/>
      <c r="H292" s="42"/>
    </row>
    <row r="293" spans="1:8" ht="12.75" customHeight="1">
      <c r="A293" s="27">
        <v>43678</v>
      </c>
      <c r="B293" s="28"/>
      <c r="C293" s="32">
        <f>ROUND(14.1343,4)</f>
        <v>14.1343</v>
      </c>
      <c r="D293" s="32">
        <f>F293</f>
        <v>14.3902</v>
      </c>
      <c r="E293" s="32">
        <f>F293</f>
        <v>14.3902</v>
      </c>
      <c r="F293" s="32">
        <f>ROUND(14.3902,4)</f>
        <v>14.3902</v>
      </c>
      <c r="G293" s="26"/>
      <c r="H293" s="42"/>
    </row>
    <row r="294" spans="1:8" ht="12.75" customHeight="1">
      <c r="A294" s="27">
        <v>43690</v>
      </c>
      <c r="B294" s="28"/>
      <c r="C294" s="32">
        <f>ROUND(14.1343,4)</f>
        <v>14.1343</v>
      </c>
      <c r="D294" s="32">
        <f>F294</f>
        <v>14.4112</v>
      </c>
      <c r="E294" s="32">
        <f>F294</f>
        <v>14.4112</v>
      </c>
      <c r="F294" s="32">
        <f>ROUND(14.4112,4)</f>
        <v>14.4112</v>
      </c>
      <c r="G294" s="26"/>
      <c r="H294" s="42"/>
    </row>
    <row r="295" spans="1:8" ht="12.75" customHeight="1">
      <c r="A295" s="27">
        <v>43707</v>
      </c>
      <c r="B295" s="28"/>
      <c r="C295" s="32">
        <f>ROUND(14.1343,4)</f>
        <v>14.1343</v>
      </c>
      <c r="D295" s="32">
        <f>F295</f>
        <v>14.441</v>
      </c>
      <c r="E295" s="32">
        <f>F295</f>
        <v>14.441</v>
      </c>
      <c r="F295" s="32">
        <f>ROUND(14.441,4)</f>
        <v>14.441</v>
      </c>
      <c r="G295" s="26"/>
      <c r="H295" s="42"/>
    </row>
    <row r="296" spans="1:8" ht="12.75" customHeight="1">
      <c r="A296" s="27">
        <v>43710</v>
      </c>
      <c r="B296" s="28"/>
      <c r="C296" s="32">
        <f>ROUND(14.1343,4)</f>
        <v>14.1343</v>
      </c>
      <c r="D296" s="32">
        <f>F296</f>
        <v>14.4462</v>
      </c>
      <c r="E296" s="32">
        <f>F296</f>
        <v>14.4462</v>
      </c>
      <c r="F296" s="32">
        <f>ROUND(14.4462,4)</f>
        <v>14.4462</v>
      </c>
      <c r="G296" s="26"/>
      <c r="H296" s="42"/>
    </row>
    <row r="297" spans="1:8" ht="12.75" customHeight="1">
      <c r="A297" s="27">
        <v>43712</v>
      </c>
      <c r="B297" s="28"/>
      <c r="C297" s="32">
        <f>ROUND(14.1343,4)</f>
        <v>14.1343</v>
      </c>
      <c r="D297" s="32">
        <f>F297</f>
        <v>14.4497</v>
      </c>
      <c r="E297" s="32">
        <f>F297</f>
        <v>14.4497</v>
      </c>
      <c r="F297" s="32">
        <f>ROUND(14.4497,4)</f>
        <v>14.4497</v>
      </c>
      <c r="G297" s="26"/>
      <c r="H297" s="42"/>
    </row>
    <row r="298" spans="1:8" ht="12.75" customHeight="1">
      <c r="A298" s="27">
        <v>43713</v>
      </c>
      <c r="B298" s="28"/>
      <c r="C298" s="32">
        <f>ROUND(14.1343,4)</f>
        <v>14.1343</v>
      </c>
      <c r="D298" s="32">
        <f>F298</f>
        <v>14.4515</v>
      </c>
      <c r="E298" s="32">
        <f>F298</f>
        <v>14.4515</v>
      </c>
      <c r="F298" s="32">
        <f>ROUND(14.4515,4)</f>
        <v>14.4515</v>
      </c>
      <c r="G298" s="26"/>
      <c r="H298" s="42"/>
    </row>
    <row r="299" spans="1:8" ht="12.75" customHeight="1">
      <c r="A299" s="27">
        <v>43738</v>
      </c>
      <c r="B299" s="28"/>
      <c r="C299" s="32">
        <f>ROUND(14.1343,4)</f>
        <v>14.1343</v>
      </c>
      <c r="D299" s="32">
        <f>F299</f>
        <v>14.496</v>
      </c>
      <c r="E299" s="32">
        <f>F299</f>
        <v>14.496</v>
      </c>
      <c r="F299" s="32">
        <f>ROUND(14.496,4)</f>
        <v>14.496</v>
      </c>
      <c r="G299" s="26"/>
      <c r="H299" s="42"/>
    </row>
    <row r="300" spans="1:8" ht="12.75" customHeight="1">
      <c r="A300" s="27">
        <v>43740</v>
      </c>
      <c r="B300" s="28"/>
      <c r="C300" s="32">
        <f>ROUND(14.1343,4)</f>
        <v>14.1343</v>
      </c>
      <c r="D300" s="32">
        <f>F300</f>
        <v>14.4996</v>
      </c>
      <c r="E300" s="32">
        <f>F300</f>
        <v>14.4996</v>
      </c>
      <c r="F300" s="32">
        <f>ROUND(14.4996,4)</f>
        <v>14.4996</v>
      </c>
      <c r="G300" s="26"/>
      <c r="H300" s="42"/>
    </row>
    <row r="301" spans="1:8" ht="12.75" customHeight="1">
      <c r="A301" s="27">
        <v>43769</v>
      </c>
      <c r="B301" s="28"/>
      <c r="C301" s="32">
        <f>ROUND(14.1343,4)</f>
        <v>14.1343</v>
      </c>
      <c r="D301" s="32">
        <f>F301</f>
        <v>14.5511</v>
      </c>
      <c r="E301" s="32">
        <f>F301</f>
        <v>14.5511</v>
      </c>
      <c r="F301" s="32">
        <f>ROUND(14.5511,4)</f>
        <v>14.5511</v>
      </c>
      <c r="G301" s="26"/>
      <c r="H301" s="42"/>
    </row>
    <row r="302" spans="1:8" ht="12.75" customHeight="1">
      <c r="A302" s="27">
        <v>43798</v>
      </c>
      <c r="B302" s="28"/>
      <c r="C302" s="32">
        <f>ROUND(14.1343,4)</f>
        <v>14.1343</v>
      </c>
      <c r="D302" s="32">
        <f>F302</f>
        <v>14.6033</v>
      </c>
      <c r="E302" s="32">
        <f>F302</f>
        <v>14.6033</v>
      </c>
      <c r="F302" s="32">
        <f>ROUND(14.6033,4)</f>
        <v>14.6033</v>
      </c>
      <c r="G302" s="26"/>
      <c r="H302" s="42"/>
    </row>
    <row r="303" spans="1:8" ht="12.75" customHeight="1">
      <c r="A303" s="27">
        <v>43801</v>
      </c>
      <c r="B303" s="28"/>
      <c r="C303" s="32">
        <f>ROUND(14.1343,4)</f>
        <v>14.1343</v>
      </c>
      <c r="D303" s="32">
        <f>F303</f>
        <v>14.6088</v>
      </c>
      <c r="E303" s="32">
        <f>F303</f>
        <v>14.6088</v>
      </c>
      <c r="F303" s="32">
        <f>ROUND(14.6088,4)</f>
        <v>14.6088</v>
      </c>
      <c r="G303" s="26"/>
      <c r="H303" s="42"/>
    </row>
    <row r="304" spans="1:8" ht="12.75" customHeight="1">
      <c r="A304" s="27">
        <v>43803</v>
      </c>
      <c r="B304" s="28"/>
      <c r="C304" s="32">
        <f>ROUND(14.1343,4)</f>
        <v>14.1343</v>
      </c>
      <c r="D304" s="32">
        <f>F304</f>
        <v>14.6124</v>
      </c>
      <c r="E304" s="32">
        <f>F304</f>
        <v>14.6124</v>
      </c>
      <c r="F304" s="32">
        <f>ROUND(14.6124,4)</f>
        <v>14.6124</v>
      </c>
      <c r="G304" s="26"/>
      <c r="H304" s="42"/>
    </row>
    <row r="305" spans="1:8" ht="12.75" customHeight="1">
      <c r="A305" s="27">
        <v>43830</v>
      </c>
      <c r="B305" s="28"/>
      <c r="C305" s="32">
        <f>ROUND(14.1343,4)</f>
        <v>14.1343</v>
      </c>
      <c r="D305" s="32">
        <f>F305</f>
        <v>14.6595</v>
      </c>
      <c r="E305" s="32">
        <f>F305</f>
        <v>14.6595</v>
      </c>
      <c r="F305" s="32">
        <f>ROUND(14.6595,4)</f>
        <v>14.6595</v>
      </c>
      <c r="G305" s="26"/>
      <c r="H305" s="42"/>
    </row>
    <row r="306" spans="1:8" ht="12.75" customHeight="1">
      <c r="A306" s="27">
        <v>43832</v>
      </c>
      <c r="B306" s="28"/>
      <c r="C306" s="32">
        <f>ROUND(14.1343,4)</f>
        <v>14.1343</v>
      </c>
      <c r="D306" s="32">
        <f>F306</f>
        <v>14.663</v>
      </c>
      <c r="E306" s="32">
        <f>F306</f>
        <v>14.663</v>
      </c>
      <c r="F306" s="32">
        <f>ROUND(14.663,4)</f>
        <v>14.663</v>
      </c>
      <c r="G306" s="26"/>
      <c r="H306" s="42"/>
    </row>
    <row r="307" spans="1:8" ht="12.75" customHeight="1">
      <c r="A307" s="27">
        <v>43861</v>
      </c>
      <c r="B307" s="28"/>
      <c r="C307" s="32">
        <f>ROUND(14.1343,4)</f>
        <v>14.1343</v>
      </c>
      <c r="D307" s="32">
        <f>F307</f>
        <v>14.7153</v>
      </c>
      <c r="E307" s="32">
        <f>F307</f>
        <v>14.7153</v>
      </c>
      <c r="F307" s="32">
        <f>ROUND(14.7153,4)</f>
        <v>14.7153</v>
      </c>
      <c r="G307" s="26"/>
      <c r="H307" s="42"/>
    </row>
    <row r="308" spans="1:8" ht="12.75" customHeight="1">
      <c r="A308" s="27">
        <v>43889</v>
      </c>
      <c r="B308" s="28"/>
      <c r="C308" s="32">
        <f>ROUND(14.1343,4)</f>
        <v>14.1343</v>
      </c>
      <c r="D308" s="32">
        <f>F308</f>
        <v>14.7653</v>
      </c>
      <c r="E308" s="32">
        <f>F308</f>
        <v>14.7653</v>
      </c>
      <c r="F308" s="32">
        <f>ROUND(14.7653,4)</f>
        <v>14.7653</v>
      </c>
      <c r="G308" s="26"/>
      <c r="H308" s="42"/>
    </row>
    <row r="309" spans="1:8" ht="12.75" customHeight="1">
      <c r="A309" s="27">
        <v>43892</v>
      </c>
      <c r="B309" s="28"/>
      <c r="C309" s="32">
        <f>ROUND(14.1343,4)</f>
        <v>14.1343</v>
      </c>
      <c r="D309" s="32">
        <f>F309</f>
        <v>14.7706</v>
      </c>
      <c r="E309" s="32">
        <f>F309</f>
        <v>14.7706</v>
      </c>
      <c r="F309" s="32">
        <f>ROUND(14.7706,4)</f>
        <v>14.7706</v>
      </c>
      <c r="G309" s="26"/>
      <c r="H309" s="42"/>
    </row>
    <row r="310" spans="1:8" ht="12.75" customHeight="1">
      <c r="A310" s="27">
        <v>43923</v>
      </c>
      <c r="B310" s="28"/>
      <c r="C310" s="32">
        <f>ROUND(14.1343,4)</f>
        <v>14.1343</v>
      </c>
      <c r="D310" s="32">
        <f>F310</f>
        <v>14.8295</v>
      </c>
      <c r="E310" s="32">
        <f>F310</f>
        <v>14.8295</v>
      </c>
      <c r="F310" s="32">
        <f>ROUND(14.8295,4)</f>
        <v>14.8295</v>
      </c>
      <c r="G310" s="26"/>
      <c r="H310" s="42"/>
    </row>
    <row r="311" spans="1:8" ht="12.75" customHeight="1">
      <c r="A311" s="27">
        <v>43950</v>
      </c>
      <c r="B311" s="28"/>
      <c r="C311" s="32">
        <f>ROUND(14.1343,4)</f>
        <v>14.1343</v>
      </c>
      <c r="D311" s="32">
        <f>F311</f>
        <v>14.8813</v>
      </c>
      <c r="E311" s="32">
        <f>F311</f>
        <v>14.8813</v>
      </c>
      <c r="F311" s="32">
        <f>ROUND(14.8813,4)</f>
        <v>14.8813</v>
      </c>
      <c r="G311" s="26"/>
      <c r="H311" s="42"/>
    </row>
    <row r="312" spans="1:8" ht="12.75" customHeight="1">
      <c r="A312" s="27">
        <v>43984</v>
      </c>
      <c r="B312" s="28"/>
      <c r="C312" s="32">
        <f>ROUND(14.1343,4)</f>
        <v>14.1343</v>
      </c>
      <c r="D312" s="32">
        <f>F312</f>
        <v>14.9466</v>
      </c>
      <c r="E312" s="32">
        <f>F312</f>
        <v>14.9466</v>
      </c>
      <c r="F312" s="32">
        <f>ROUND(14.9466,4)</f>
        <v>14.9466</v>
      </c>
      <c r="G312" s="26"/>
      <c r="H312" s="42"/>
    </row>
    <row r="313" spans="1:8" ht="12.75" customHeight="1">
      <c r="A313" s="27">
        <v>44001</v>
      </c>
      <c r="B313" s="28"/>
      <c r="C313" s="32">
        <f>ROUND(14.1343,4)</f>
        <v>14.1343</v>
      </c>
      <c r="D313" s="32">
        <f>F313</f>
        <v>14.4157</v>
      </c>
      <c r="E313" s="32">
        <f>F313</f>
        <v>14.4157</v>
      </c>
      <c r="F313" s="32">
        <f>ROUND(14.4157,4)</f>
        <v>14.4157</v>
      </c>
      <c r="G313" s="26"/>
      <c r="H313" s="42"/>
    </row>
    <row r="314" spans="1:8" ht="12.75" customHeight="1">
      <c r="A314" s="27">
        <v>44040</v>
      </c>
      <c r="B314" s="28"/>
      <c r="C314" s="32">
        <f>ROUND(14.1343,4)</f>
        <v>14.1343</v>
      </c>
      <c r="D314" s="32">
        <f>F314</f>
        <v>15.0511</v>
      </c>
      <c r="E314" s="32">
        <f>F314</f>
        <v>15.0511</v>
      </c>
      <c r="F314" s="32">
        <f>ROUND(15.0511,4)</f>
        <v>15.0511</v>
      </c>
      <c r="G314" s="26"/>
      <c r="H314" s="42"/>
    </row>
    <row r="315" spans="1:8" ht="12.75" customHeight="1">
      <c r="A315" s="27">
        <v>45676</v>
      </c>
      <c r="B315" s="28"/>
      <c r="C315" s="32">
        <f>ROUND(14.1343,4)</f>
        <v>14.1343</v>
      </c>
      <c r="D315" s="32">
        <f>F315</f>
        <v>14.1646</v>
      </c>
      <c r="E315" s="32">
        <f>F315</f>
        <v>14.1646</v>
      </c>
      <c r="F315" s="32">
        <f>ROUND(14.1646,4)</f>
        <v>14.1646</v>
      </c>
      <c r="G315" s="26"/>
      <c r="H315" s="42"/>
    </row>
    <row r="316" spans="1:8" ht="12.75" customHeight="1">
      <c r="A316" s="27">
        <v>45707</v>
      </c>
      <c r="B316" s="28"/>
      <c r="C316" s="32">
        <f>ROUND(14.1343,4)</f>
        <v>14.1343</v>
      </c>
      <c r="D316" s="32">
        <f>F316</f>
        <v>14.2161</v>
      </c>
      <c r="E316" s="32">
        <f>F316</f>
        <v>14.2161</v>
      </c>
      <c r="F316" s="32">
        <f>ROUND(14.2161,4)</f>
        <v>14.2161</v>
      </c>
      <c r="G316" s="26"/>
      <c r="H316" s="42"/>
    </row>
    <row r="317" spans="1:8" ht="12.75" customHeight="1">
      <c r="A317" s="27">
        <v>46131</v>
      </c>
      <c r="B317" s="28"/>
      <c r="C317" s="32">
        <f>ROUND(14.1343,4)</f>
        <v>14.1343</v>
      </c>
      <c r="D317" s="32">
        <f>F317</f>
        <v>14.3183</v>
      </c>
      <c r="E317" s="32">
        <f>F317</f>
        <v>14.3183</v>
      </c>
      <c r="F317" s="32">
        <f>ROUND(14.3183,4)</f>
        <v>14.3183</v>
      </c>
      <c r="G317" s="26"/>
      <c r="H317" s="42"/>
    </row>
    <row r="318" spans="1:8" ht="12.75" customHeight="1">
      <c r="A318" s="27">
        <v>46465</v>
      </c>
      <c r="B318" s="28"/>
      <c r="C318" s="32">
        <f>ROUND(14.1343,4)</f>
        <v>14.1343</v>
      </c>
      <c r="D318" s="32">
        <f>F318</f>
        <v>14.2668</v>
      </c>
      <c r="E318" s="32">
        <f>F318</f>
        <v>14.2668</v>
      </c>
      <c r="F318" s="32">
        <f>ROUND(14.2668,4)</f>
        <v>14.2668</v>
      </c>
      <c r="G318" s="26"/>
      <c r="H318" s="42"/>
    </row>
    <row r="319" spans="1:8" ht="12.75" customHeight="1">
      <c r="A319" s="27">
        <v>46802</v>
      </c>
      <c r="B319" s="28"/>
      <c r="C319" s="32">
        <f>ROUND(14.1343,4)</f>
        <v>14.1343</v>
      </c>
      <c r="D319" s="32">
        <f>F319</f>
        <v>14.2211</v>
      </c>
      <c r="E319" s="32">
        <f>F319</f>
        <v>14.2211</v>
      </c>
      <c r="F319" s="32">
        <f>ROUND(14.2211,4)</f>
        <v>14.2211</v>
      </c>
      <c r="G319" s="26"/>
      <c r="H319" s="42"/>
    </row>
    <row r="320" spans="1:8" ht="12.75" customHeight="1">
      <c r="A320" s="27">
        <v>46923</v>
      </c>
      <c r="B320" s="28"/>
      <c r="C320" s="32">
        <f>ROUND(14.1343,4)</f>
        <v>14.1343</v>
      </c>
      <c r="D320" s="32">
        <f>F320</f>
        <v>14.4296</v>
      </c>
      <c r="E320" s="32">
        <f>F320</f>
        <v>14.4296</v>
      </c>
      <c r="F320" s="32">
        <f>ROUND(14.4296,4)</f>
        <v>14.4296</v>
      </c>
      <c r="G320" s="26"/>
      <c r="H320" s="42"/>
    </row>
    <row r="321" spans="1:8" ht="12.75" customHeight="1">
      <c r="A321" s="27">
        <v>46954</v>
      </c>
      <c r="B321" s="28"/>
      <c r="C321" s="32">
        <f>ROUND(14.1343,4)</f>
        <v>14.1343</v>
      </c>
      <c r="D321" s="32">
        <f>F321</f>
        <v>15.1659</v>
      </c>
      <c r="E321" s="32">
        <f>F321</f>
        <v>15.1659</v>
      </c>
      <c r="F321" s="32">
        <f>ROUND(15.1659,4)</f>
        <v>15.1659</v>
      </c>
      <c r="G321" s="26"/>
      <c r="H321" s="42"/>
    </row>
    <row r="322" spans="1:8" ht="12.75" customHeight="1">
      <c r="A322" s="27">
        <v>47196</v>
      </c>
      <c r="B322" s="28"/>
      <c r="C322" s="32">
        <f>ROUND(14.1343,4)</f>
        <v>14.1343</v>
      </c>
      <c r="D322" s="32">
        <f>F322</f>
        <v>14.2703</v>
      </c>
      <c r="E322" s="32">
        <f>F322</f>
        <v>14.2703</v>
      </c>
      <c r="F322" s="32">
        <f>ROUND(14.2703,4)</f>
        <v>14.2703</v>
      </c>
      <c r="G322" s="26"/>
      <c r="H322" s="42"/>
    </row>
    <row r="323" spans="1:8" ht="12.75" customHeight="1">
      <c r="A323" s="27">
        <v>47228</v>
      </c>
      <c r="B323" s="28"/>
      <c r="C323" s="32">
        <f>ROUND(14.1343,4)</f>
        <v>14.1343</v>
      </c>
      <c r="D323" s="32">
        <f>F323</f>
        <v>14.9921</v>
      </c>
      <c r="E323" s="32">
        <f>F323</f>
        <v>14.9921</v>
      </c>
      <c r="F323" s="32">
        <f>ROUND(14.9921,4)</f>
        <v>14.9921</v>
      </c>
      <c r="G323" s="26"/>
      <c r="H323" s="42"/>
    </row>
    <row r="324" spans="1:8" ht="12.75" customHeight="1">
      <c r="A324" s="27">
        <v>47441</v>
      </c>
      <c r="B324" s="28"/>
      <c r="C324" s="32">
        <f>ROUND(14.1343,4)</f>
        <v>14.1343</v>
      </c>
      <c r="D324" s="32">
        <f>F324</f>
        <v>14.7085</v>
      </c>
      <c r="E324" s="32">
        <f>F324</f>
        <v>14.7085</v>
      </c>
      <c r="F324" s="32">
        <f>ROUND(14.7085,4)</f>
        <v>14.7085</v>
      </c>
      <c r="G324" s="26"/>
      <c r="H324" s="42"/>
    </row>
    <row r="325" spans="1:8" ht="12.75" customHeight="1">
      <c r="A325" s="27" t="s">
        <v>64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ROUND(1.1327,4)</f>
        <v>1.1327</v>
      </c>
      <c r="D326" s="32">
        <f>F326</f>
        <v>1.1339</v>
      </c>
      <c r="E326" s="32">
        <f>F326</f>
        <v>1.1339</v>
      </c>
      <c r="F326" s="32">
        <f>ROUND(1.1339,4)</f>
        <v>1.1339</v>
      </c>
      <c r="G326" s="26"/>
      <c r="H326" s="42"/>
    </row>
    <row r="327" spans="1:8" ht="12.75" customHeight="1">
      <c r="A327" s="27">
        <v>43630</v>
      </c>
      <c r="B327" s="28"/>
      <c r="C327" s="32">
        <f>ROUND(1.1327,4)</f>
        <v>1.1327</v>
      </c>
      <c r="D327" s="32">
        <f>F327</f>
        <v>1.1423</v>
      </c>
      <c r="E327" s="32">
        <f>F327</f>
        <v>1.1423</v>
      </c>
      <c r="F327" s="32">
        <f>ROUND(1.1423,4)</f>
        <v>1.1423</v>
      </c>
      <c r="G327" s="26"/>
      <c r="H327" s="42"/>
    </row>
    <row r="328" spans="1:8" ht="12.75" customHeight="1">
      <c r="A328" s="27">
        <v>43724</v>
      </c>
      <c r="B328" s="28"/>
      <c r="C328" s="32">
        <f>ROUND(1.1327,4)</f>
        <v>1.1327</v>
      </c>
      <c r="D328" s="32">
        <f>F328</f>
        <v>1.1513</v>
      </c>
      <c r="E328" s="32">
        <f>F328</f>
        <v>1.1513</v>
      </c>
      <c r="F328" s="32">
        <f>ROUND(1.1513,4)</f>
        <v>1.1513</v>
      </c>
      <c r="G328" s="26"/>
      <c r="H328" s="42"/>
    </row>
    <row r="329" spans="1:8" ht="12.75" customHeight="1">
      <c r="A329" s="27">
        <v>43812</v>
      </c>
      <c r="B329" s="28"/>
      <c r="C329" s="32">
        <f>ROUND(1.1327,4)</f>
        <v>1.1327</v>
      </c>
      <c r="D329" s="32">
        <f>F329</f>
        <v>1.1599</v>
      </c>
      <c r="E329" s="32">
        <f>F329</f>
        <v>1.1599</v>
      </c>
      <c r="F329" s="32">
        <f>ROUND(1.1599,4)</f>
        <v>1.1599</v>
      </c>
      <c r="G329" s="26"/>
      <c r="H329" s="42"/>
    </row>
    <row r="330" spans="1:8" ht="12.75" customHeight="1">
      <c r="A330" s="27">
        <v>43906</v>
      </c>
      <c r="B330" s="28"/>
      <c r="C330" s="32">
        <f>ROUND(1.1327,4)</f>
        <v>1.1327</v>
      </c>
      <c r="D330" s="32">
        <f>F330</f>
        <v>1.1693</v>
      </c>
      <c r="E330" s="32">
        <f>F330</f>
        <v>1.1693</v>
      </c>
      <c r="F330" s="32">
        <f>ROUND(1.1693,4)</f>
        <v>1.1693</v>
      </c>
      <c r="G330" s="26"/>
      <c r="H330" s="42"/>
    </row>
    <row r="331" spans="1:8" ht="12.75" customHeight="1">
      <c r="A331" s="27">
        <v>43994</v>
      </c>
      <c r="B331" s="28"/>
      <c r="C331" s="32">
        <f>ROUND(1.1327,4)</f>
        <v>1.1327</v>
      </c>
      <c r="D331" s="32">
        <f>F331</f>
        <v>1.1697</v>
      </c>
      <c r="E331" s="32">
        <f>F331</f>
        <v>1.1697</v>
      </c>
      <c r="F331" s="32">
        <f>ROUND(1.1697,4)</f>
        <v>1.1697</v>
      </c>
      <c r="G331" s="26"/>
      <c r="H331" s="42"/>
    </row>
    <row r="332" spans="1:8" ht="12.75" customHeight="1">
      <c r="A332" s="27" t="s">
        <v>65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ROUND(1.3137,4)</f>
        <v>1.3137</v>
      </c>
      <c r="D333" s="32">
        <f>F333</f>
        <v>1.3145</v>
      </c>
      <c r="E333" s="32">
        <f>F333</f>
        <v>1.3145</v>
      </c>
      <c r="F333" s="32">
        <f>ROUND(1.3145,4)</f>
        <v>1.3145</v>
      </c>
      <c r="G333" s="26"/>
      <c r="H333" s="42"/>
    </row>
    <row r="334" spans="1:8" ht="12.75" customHeight="1">
      <c r="A334" s="27">
        <v>43630</v>
      </c>
      <c r="B334" s="28"/>
      <c r="C334" s="32">
        <f>ROUND(1.3137,4)</f>
        <v>1.3137</v>
      </c>
      <c r="D334" s="32">
        <f>F334</f>
        <v>1.3203</v>
      </c>
      <c r="E334" s="32">
        <f>F334</f>
        <v>1.3203</v>
      </c>
      <c r="F334" s="32">
        <f>ROUND(1.3203,4)</f>
        <v>1.3203</v>
      </c>
      <c r="G334" s="26"/>
      <c r="H334" s="42"/>
    </row>
    <row r="335" spans="1:8" ht="12.75" customHeight="1">
      <c r="A335" s="27">
        <v>43724</v>
      </c>
      <c r="B335" s="28"/>
      <c r="C335" s="32">
        <f>ROUND(1.3137,4)</f>
        <v>1.3137</v>
      </c>
      <c r="D335" s="32">
        <f>F335</f>
        <v>1.3263</v>
      </c>
      <c r="E335" s="32">
        <f>F335</f>
        <v>1.3263</v>
      </c>
      <c r="F335" s="32">
        <f>ROUND(1.3263,4)</f>
        <v>1.3263</v>
      </c>
      <c r="G335" s="26"/>
      <c r="H335" s="42"/>
    </row>
    <row r="336" spans="1:8" ht="12.75" customHeight="1">
      <c r="A336" s="27">
        <v>43812</v>
      </c>
      <c r="B336" s="28"/>
      <c r="C336" s="32">
        <f>ROUND(1.3137,4)</f>
        <v>1.3137</v>
      </c>
      <c r="D336" s="32">
        <f>F336</f>
        <v>1.3317</v>
      </c>
      <c r="E336" s="32">
        <f>F336</f>
        <v>1.3317</v>
      </c>
      <c r="F336" s="32">
        <f>ROUND(1.3317,4)</f>
        <v>1.3317</v>
      </c>
      <c r="G336" s="26"/>
      <c r="H336" s="42"/>
    </row>
    <row r="337" spans="1:8" ht="12.75" customHeight="1">
      <c r="A337" s="27">
        <v>43906</v>
      </c>
      <c r="B337" s="28"/>
      <c r="C337" s="32">
        <f>ROUND(1.3137,4)</f>
        <v>1.3137</v>
      </c>
      <c r="D337" s="32">
        <f>F337</f>
        <v>1.3374</v>
      </c>
      <c r="E337" s="32">
        <f>F337</f>
        <v>1.3374</v>
      </c>
      <c r="F337" s="32">
        <f>ROUND(1.3374,4)</f>
        <v>1.3374</v>
      </c>
      <c r="G337" s="26"/>
      <c r="H337" s="42"/>
    </row>
    <row r="338" spans="1:8" ht="12.75" customHeight="1">
      <c r="A338" s="27">
        <v>43994</v>
      </c>
      <c r="B338" s="28"/>
      <c r="C338" s="32">
        <f>ROUND(1.3137,4)</f>
        <v>1.3137</v>
      </c>
      <c r="D338" s="32">
        <f>F338</f>
        <v>1.3112</v>
      </c>
      <c r="E338" s="32">
        <f>F338</f>
        <v>1.3112</v>
      </c>
      <c r="F338" s="32">
        <f>ROUND(1.3112,4)</f>
        <v>1.3112</v>
      </c>
      <c r="G338" s="26"/>
      <c r="H338" s="42"/>
    </row>
    <row r="339" spans="1:8" ht="12.75" customHeight="1">
      <c r="A339" s="27" t="s">
        <v>66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ROUND(7.93435139394598,4)</f>
        <v>7.9344</v>
      </c>
      <c r="D340" s="32">
        <f>F340</f>
        <v>7.8536</v>
      </c>
      <c r="E340" s="32">
        <f>F340</f>
        <v>7.8536</v>
      </c>
      <c r="F340" s="32">
        <f>ROUND(7.853609,4)</f>
        <v>7.8536</v>
      </c>
      <c r="G340" s="26"/>
      <c r="H340" s="42"/>
    </row>
    <row r="341" spans="1:8" ht="12.75" customHeight="1">
      <c r="A341" s="27" t="s">
        <v>67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ROUND(10.0119,4)</f>
        <v>10.0119</v>
      </c>
      <c r="D342" s="32">
        <f>F342</f>
        <v>10.0297</v>
      </c>
      <c r="E342" s="32">
        <f>F342</f>
        <v>10.0297</v>
      </c>
      <c r="F342" s="32">
        <f>ROUND(10.0297,4)</f>
        <v>10.0297</v>
      </c>
      <c r="G342" s="26"/>
      <c r="H342" s="42"/>
    </row>
    <row r="343" spans="1:8" ht="12.75" customHeight="1">
      <c r="A343" s="27">
        <v>43630</v>
      </c>
      <c r="B343" s="28"/>
      <c r="C343" s="32">
        <f>ROUND(10.0119,4)</f>
        <v>10.0119</v>
      </c>
      <c r="D343" s="32">
        <f>F343</f>
        <v>10.1483</v>
      </c>
      <c r="E343" s="32">
        <f>F343</f>
        <v>10.1483</v>
      </c>
      <c r="F343" s="32">
        <f>ROUND(10.1483,4)</f>
        <v>10.1483</v>
      </c>
      <c r="G343" s="26"/>
      <c r="H343" s="42"/>
    </row>
    <row r="344" spans="1:8" ht="12.75" customHeight="1">
      <c r="A344" s="27">
        <v>43724</v>
      </c>
      <c r="B344" s="28"/>
      <c r="C344" s="32">
        <f>ROUND(10.0119,4)</f>
        <v>10.0119</v>
      </c>
      <c r="D344" s="32">
        <f>F344</f>
        <v>10.2804</v>
      </c>
      <c r="E344" s="32">
        <f>F344</f>
        <v>10.2804</v>
      </c>
      <c r="F344" s="32">
        <f>ROUND(10.2804,4)</f>
        <v>10.2804</v>
      </c>
      <c r="G344" s="26"/>
      <c r="H344" s="42"/>
    </row>
    <row r="345" spans="1:8" ht="12.75" customHeight="1">
      <c r="A345" s="27">
        <v>43812</v>
      </c>
      <c r="B345" s="28"/>
      <c r="C345" s="32">
        <f>ROUND(10.0119,4)</f>
        <v>10.0119</v>
      </c>
      <c r="D345" s="32">
        <f>F345</f>
        <v>10.4081</v>
      </c>
      <c r="E345" s="32">
        <f>F345</f>
        <v>10.4081</v>
      </c>
      <c r="F345" s="32">
        <f>ROUND(10.4081,4)</f>
        <v>10.4081</v>
      </c>
      <c r="G345" s="26"/>
      <c r="H345" s="42"/>
    </row>
    <row r="346" spans="1:8" ht="12.75" customHeight="1">
      <c r="A346" s="27">
        <v>43906</v>
      </c>
      <c r="B346" s="28"/>
      <c r="C346" s="32">
        <f>ROUND(10.0119,4)</f>
        <v>10.0119</v>
      </c>
      <c r="D346" s="32">
        <f>F346</f>
        <v>10.5462</v>
      </c>
      <c r="E346" s="32">
        <f>F346</f>
        <v>10.5462</v>
      </c>
      <c r="F346" s="32">
        <f>ROUND(10.5462,4)</f>
        <v>10.5462</v>
      </c>
      <c r="G346" s="26"/>
      <c r="H346" s="42"/>
    </row>
    <row r="347" spans="1:8" ht="12.75" customHeight="1">
      <c r="A347" s="27">
        <v>43994</v>
      </c>
      <c r="B347" s="28"/>
      <c r="C347" s="32">
        <f>ROUND(10.0119,4)</f>
        <v>10.0119</v>
      </c>
      <c r="D347" s="32">
        <f>F347</f>
        <v>10.6497</v>
      </c>
      <c r="E347" s="32">
        <f>F347</f>
        <v>10.6497</v>
      </c>
      <c r="F347" s="32">
        <f>ROUND(10.6497,4)</f>
        <v>10.6497</v>
      </c>
      <c r="G347" s="26"/>
      <c r="H347" s="42"/>
    </row>
    <row r="348" spans="1:8" ht="12.75" customHeight="1">
      <c r="A348" s="27">
        <v>44088</v>
      </c>
      <c r="B348" s="28"/>
      <c r="C348" s="32">
        <f>ROUND(10.0119,4)</f>
        <v>10.0119</v>
      </c>
      <c r="D348" s="32">
        <f>F348</f>
        <v>10.7944</v>
      </c>
      <c r="E348" s="32">
        <f>F348</f>
        <v>10.7944</v>
      </c>
      <c r="F348" s="32">
        <f>ROUND(10.7944,4)</f>
        <v>10.7944</v>
      </c>
      <c r="G348" s="26"/>
      <c r="H348" s="42"/>
    </row>
    <row r="349" spans="1:8" ht="12.75" customHeight="1">
      <c r="A349" s="27">
        <v>44179</v>
      </c>
      <c r="B349" s="28"/>
      <c r="C349" s="32">
        <f>ROUND(10.0119,4)</f>
        <v>10.0119</v>
      </c>
      <c r="D349" s="32">
        <f>F349</f>
        <v>10.9331</v>
      </c>
      <c r="E349" s="32">
        <f>F349</f>
        <v>10.9331</v>
      </c>
      <c r="F349" s="32">
        <f>ROUND(10.9331,4)</f>
        <v>10.9331</v>
      </c>
      <c r="G349" s="26"/>
      <c r="H349" s="42"/>
    </row>
    <row r="350" spans="1:8" ht="12.75" customHeight="1">
      <c r="A350" s="27" t="s">
        <v>68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43542</v>
      </c>
      <c r="B351" s="28"/>
      <c r="C351" s="32">
        <f>ROUND(3.75719750078271,4)</f>
        <v>3.7572</v>
      </c>
      <c r="D351" s="32">
        <f>F351</f>
        <v>4.054</v>
      </c>
      <c r="E351" s="32">
        <f>F351</f>
        <v>4.054</v>
      </c>
      <c r="F351" s="32">
        <f>ROUND(4.054,4)</f>
        <v>4.054</v>
      </c>
      <c r="G351" s="26"/>
      <c r="H351" s="42"/>
    </row>
    <row r="352" spans="1:8" ht="12.75" customHeight="1">
      <c r="A352" s="27">
        <v>43630</v>
      </c>
      <c r="B352" s="28"/>
      <c r="C352" s="32">
        <f>ROUND(3.75719750078271,4)</f>
        <v>3.7572</v>
      </c>
      <c r="D352" s="32">
        <f>F352</f>
        <v>4.1017</v>
      </c>
      <c r="E352" s="32">
        <f>F352</f>
        <v>4.1017</v>
      </c>
      <c r="F352" s="32">
        <f>ROUND(4.1017,4)</f>
        <v>4.1017</v>
      </c>
      <c r="G352" s="26"/>
      <c r="H352" s="42"/>
    </row>
    <row r="353" spans="1:8" ht="12.75" customHeight="1">
      <c r="A353" s="27">
        <v>43724</v>
      </c>
      <c r="B353" s="28"/>
      <c r="C353" s="32">
        <f>ROUND(3.75719750078271,4)</f>
        <v>3.7572</v>
      </c>
      <c r="D353" s="32">
        <f>F353</f>
        <v>4.1556</v>
      </c>
      <c r="E353" s="32">
        <f>F353</f>
        <v>4.1556</v>
      </c>
      <c r="F353" s="32">
        <f>ROUND(4.1556,4)</f>
        <v>4.1556</v>
      </c>
      <c r="G353" s="26"/>
      <c r="H353" s="42"/>
    </row>
    <row r="354" spans="1:8" ht="12.75" customHeight="1">
      <c r="A354" s="27" t="s">
        <v>69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ROUND(1.3253,4)</f>
        <v>1.3253</v>
      </c>
      <c r="D355" s="32">
        <f>F355</f>
        <v>1.3262</v>
      </c>
      <c r="E355" s="32">
        <f>F355</f>
        <v>1.3262</v>
      </c>
      <c r="F355" s="32">
        <f>ROUND(1.3262,4)</f>
        <v>1.3262</v>
      </c>
      <c r="G355" s="26"/>
      <c r="H355" s="42"/>
    </row>
    <row r="356" spans="1:8" ht="12.75" customHeight="1">
      <c r="A356" s="27">
        <v>43630</v>
      </c>
      <c r="B356" s="28"/>
      <c r="C356" s="32">
        <f>ROUND(1.3253,4)</f>
        <v>1.3253</v>
      </c>
      <c r="D356" s="32">
        <f>F356</f>
        <v>1.3326</v>
      </c>
      <c r="E356" s="32">
        <f>F356</f>
        <v>1.3326</v>
      </c>
      <c r="F356" s="32">
        <f>ROUND(1.3326,4)</f>
        <v>1.3326</v>
      </c>
      <c r="G356" s="26"/>
      <c r="H356" s="42"/>
    </row>
    <row r="357" spans="1:8" ht="12.75" customHeight="1">
      <c r="A357" s="27">
        <v>43724</v>
      </c>
      <c r="B357" s="28"/>
      <c r="C357" s="32">
        <f>ROUND(1.3253,4)</f>
        <v>1.3253</v>
      </c>
      <c r="D357" s="32">
        <f>F357</f>
        <v>1.3384</v>
      </c>
      <c r="E357" s="32">
        <f>F357</f>
        <v>1.3384</v>
      </c>
      <c r="F357" s="32">
        <f>ROUND(1.3384,4)</f>
        <v>1.3384</v>
      </c>
      <c r="G357" s="26"/>
      <c r="H357" s="42"/>
    </row>
    <row r="358" spans="1:8" ht="12.75" customHeight="1">
      <c r="A358" s="27">
        <v>43812</v>
      </c>
      <c r="B358" s="28"/>
      <c r="C358" s="32">
        <f>ROUND(1.3253,4)</f>
        <v>1.3253</v>
      </c>
      <c r="D358" s="32">
        <f>F358</f>
        <v>1.3426</v>
      </c>
      <c r="E358" s="32">
        <f>F358</f>
        <v>1.3426</v>
      </c>
      <c r="F358" s="32">
        <f>ROUND(1.3426,4)</f>
        <v>1.3426</v>
      </c>
      <c r="G358" s="26"/>
      <c r="H358" s="42"/>
    </row>
    <row r="359" spans="1:8" ht="12.75" customHeight="1">
      <c r="A359" s="27">
        <v>43906</v>
      </c>
      <c r="B359" s="28"/>
      <c r="C359" s="32">
        <f>ROUND(1.3253,4)</f>
        <v>1.3253</v>
      </c>
      <c r="D359" s="32">
        <f>F359</f>
        <v>1.4358</v>
      </c>
      <c r="E359" s="32">
        <f>F359</f>
        <v>1.4358</v>
      </c>
      <c r="F359" s="32">
        <f>ROUND(1.4358,4)</f>
        <v>1.4358</v>
      </c>
      <c r="G359" s="26"/>
      <c r="H359" s="42"/>
    </row>
    <row r="360" spans="1:8" ht="12.75" customHeight="1">
      <c r="A360" s="27">
        <v>43994</v>
      </c>
      <c r="B360" s="28"/>
      <c r="C360" s="32">
        <f>ROUND(1.3253,4)</f>
        <v>1.3253</v>
      </c>
      <c r="D360" s="32">
        <f>F360</f>
        <v>1.4547</v>
      </c>
      <c r="E360" s="32">
        <f>F360</f>
        <v>1.4547</v>
      </c>
      <c r="F360" s="32">
        <f>ROUND(1.4547,4)</f>
        <v>1.4547</v>
      </c>
      <c r="G360" s="26"/>
      <c r="H360" s="42"/>
    </row>
    <row r="361" spans="1:8" ht="12.75" customHeight="1">
      <c r="A361" s="27">
        <v>44088</v>
      </c>
      <c r="B361" s="28"/>
      <c r="C361" s="32">
        <f>ROUND(1.3253,4)</f>
        <v>1.3253</v>
      </c>
      <c r="D361" s="32">
        <f>F361</f>
        <v>1.4747</v>
      </c>
      <c r="E361" s="32">
        <f>F361</f>
        <v>1.4747</v>
      </c>
      <c r="F361" s="32">
        <f>ROUND(1.4747,4)</f>
        <v>1.4747</v>
      </c>
      <c r="G361" s="26"/>
      <c r="H361" s="42"/>
    </row>
    <row r="362" spans="1:8" ht="12.75" customHeight="1">
      <c r="A362" s="27">
        <v>44179</v>
      </c>
      <c r="B362" s="28"/>
      <c r="C362" s="32">
        <f>ROUND(1.3253,4)</f>
        <v>1.3253</v>
      </c>
      <c r="D362" s="32">
        <f>F362</f>
        <v>1.4961</v>
      </c>
      <c r="E362" s="32">
        <f>F362</f>
        <v>1.4961</v>
      </c>
      <c r="F362" s="32">
        <f>ROUND(1.4961,4)</f>
        <v>1.4961</v>
      </c>
      <c r="G362" s="26"/>
      <c r="H362" s="42"/>
    </row>
    <row r="363" spans="1:8" ht="12.75" customHeight="1">
      <c r="A363" s="27" t="s">
        <v>70</v>
      </c>
      <c r="B363" s="28"/>
      <c r="C363" s="29"/>
      <c r="D363" s="29"/>
      <c r="E363" s="29"/>
      <c r="F363" s="29"/>
      <c r="G363" s="26"/>
      <c r="H363" s="42"/>
    </row>
    <row r="364" spans="1:8" ht="12.75" customHeight="1">
      <c r="A364" s="27">
        <v>43542</v>
      </c>
      <c r="B364" s="28"/>
      <c r="C364" s="32">
        <f>ROUND(10.5954,4)</f>
        <v>10.5954</v>
      </c>
      <c r="D364" s="32">
        <f>F364</f>
        <v>10.6145</v>
      </c>
      <c r="E364" s="32">
        <f>F364</f>
        <v>10.6145</v>
      </c>
      <c r="F364" s="32">
        <f>ROUND(10.6145,4)</f>
        <v>10.6145</v>
      </c>
      <c r="G364" s="26"/>
      <c r="H364" s="42"/>
    </row>
    <row r="365" spans="1:8" ht="12.75" customHeight="1">
      <c r="A365" s="27">
        <v>43630</v>
      </c>
      <c r="B365" s="28"/>
      <c r="C365" s="32">
        <f>ROUND(10.5954,4)</f>
        <v>10.5954</v>
      </c>
      <c r="D365" s="32">
        <f>F365</f>
        <v>10.7479</v>
      </c>
      <c r="E365" s="32">
        <f>F365</f>
        <v>10.7479</v>
      </c>
      <c r="F365" s="32">
        <f>ROUND(10.7479,4)</f>
        <v>10.7479</v>
      </c>
      <c r="G365" s="26"/>
      <c r="H365" s="42"/>
    </row>
    <row r="366" spans="1:8" ht="12.75" customHeight="1">
      <c r="A366" s="27">
        <v>43724</v>
      </c>
      <c r="B366" s="28"/>
      <c r="C366" s="32">
        <f>ROUND(10.5954,4)</f>
        <v>10.5954</v>
      </c>
      <c r="D366" s="32">
        <f>F366</f>
        <v>10.8937</v>
      </c>
      <c r="E366" s="32">
        <f>F366</f>
        <v>10.8937</v>
      </c>
      <c r="F366" s="32">
        <f>ROUND(10.8937,4)</f>
        <v>10.8937</v>
      </c>
      <c r="G366" s="26"/>
      <c r="H366" s="42"/>
    </row>
    <row r="367" spans="1:8" ht="12.75" customHeight="1">
      <c r="A367" s="27">
        <v>43812</v>
      </c>
      <c r="B367" s="28"/>
      <c r="C367" s="32">
        <f>ROUND(10.5954,4)</f>
        <v>10.5954</v>
      </c>
      <c r="D367" s="32">
        <f>F367</f>
        <v>11.0324</v>
      </c>
      <c r="E367" s="32">
        <f>F367</f>
        <v>11.0324</v>
      </c>
      <c r="F367" s="32">
        <f>ROUND(11.0324,4)</f>
        <v>11.0324</v>
      </c>
      <c r="G367" s="26"/>
      <c r="H367" s="42"/>
    </row>
    <row r="368" spans="1:8" ht="12.75" customHeight="1">
      <c r="A368" s="27">
        <v>43906</v>
      </c>
      <c r="B368" s="28"/>
      <c r="C368" s="32">
        <f>ROUND(10.5954,4)</f>
        <v>10.5954</v>
      </c>
      <c r="D368" s="32">
        <f>F368</f>
        <v>11.1815</v>
      </c>
      <c r="E368" s="32">
        <f>F368</f>
        <v>11.1815</v>
      </c>
      <c r="F368" s="32">
        <f>ROUND(11.1815,4)</f>
        <v>11.1815</v>
      </c>
      <c r="G368" s="26"/>
      <c r="H368" s="42"/>
    </row>
    <row r="369" spans="1:8" ht="12.75" customHeight="1">
      <c r="A369" s="27">
        <v>43994</v>
      </c>
      <c r="B369" s="28"/>
      <c r="C369" s="32">
        <f>ROUND(10.5954,4)</f>
        <v>10.5954</v>
      </c>
      <c r="D369" s="32">
        <f>F369</f>
        <v>11.0647</v>
      </c>
      <c r="E369" s="32">
        <f>F369</f>
        <v>11.0647</v>
      </c>
      <c r="F369" s="32">
        <f>ROUND(11.0647,4)</f>
        <v>11.0647</v>
      </c>
      <c r="G369" s="26"/>
      <c r="H369" s="42"/>
    </row>
    <row r="370" spans="1:8" ht="12.75" customHeight="1">
      <c r="A370" s="27">
        <v>44088</v>
      </c>
      <c r="B370" s="28"/>
      <c r="C370" s="32">
        <f>ROUND(10.5954,4)</f>
        <v>10.5954</v>
      </c>
      <c r="D370" s="32">
        <f>F370</f>
        <v>11.0883</v>
      </c>
      <c r="E370" s="32">
        <f>F370</f>
        <v>11.0883</v>
      </c>
      <c r="F370" s="32">
        <f>ROUND(11.0883,4)</f>
        <v>11.0883</v>
      </c>
      <c r="G370" s="26"/>
      <c r="H370" s="42"/>
    </row>
    <row r="371" spans="1:8" ht="12.75" customHeight="1">
      <c r="A371" s="27">
        <v>44179</v>
      </c>
      <c r="B371" s="28"/>
      <c r="C371" s="32">
        <f>ROUND(10.5954,4)</f>
        <v>10.5954</v>
      </c>
      <c r="D371" s="32">
        <f>F371</f>
        <v>11.2249</v>
      </c>
      <c r="E371" s="32">
        <f>F371</f>
        <v>11.2249</v>
      </c>
      <c r="F371" s="32">
        <f>ROUND(11.2249,4)</f>
        <v>11.2249</v>
      </c>
      <c r="G371" s="26"/>
      <c r="H371" s="42"/>
    </row>
    <row r="372" spans="1:8" ht="12.75" customHeight="1">
      <c r="A372" s="27" t="s">
        <v>71</v>
      </c>
      <c r="B372" s="28"/>
      <c r="C372" s="29"/>
      <c r="D372" s="29"/>
      <c r="E372" s="29"/>
      <c r="F372" s="29"/>
      <c r="G372" s="26"/>
      <c r="H372" s="42"/>
    </row>
    <row r="373" spans="1:8" ht="12.75" customHeight="1">
      <c r="A373" s="27">
        <v>43542</v>
      </c>
      <c r="B373" s="28"/>
      <c r="C373" s="32">
        <f>ROUND(2.1076,4)</f>
        <v>2.1076</v>
      </c>
      <c r="D373" s="32">
        <f>F373</f>
        <v>2.1112</v>
      </c>
      <c r="E373" s="32">
        <f>F373</f>
        <v>2.1112</v>
      </c>
      <c r="F373" s="32">
        <f>ROUND(2.1112,4)</f>
        <v>2.1112</v>
      </c>
      <c r="G373" s="26"/>
      <c r="H373" s="42"/>
    </row>
    <row r="374" spans="1:8" ht="12.75" customHeight="1">
      <c r="A374" s="27">
        <v>43630</v>
      </c>
      <c r="B374" s="28"/>
      <c r="C374" s="32">
        <f>ROUND(2.1076,4)</f>
        <v>2.1076</v>
      </c>
      <c r="D374" s="32">
        <f>F374</f>
        <v>2.1335</v>
      </c>
      <c r="E374" s="32">
        <f>F374</f>
        <v>2.1335</v>
      </c>
      <c r="F374" s="32">
        <f>ROUND(2.1335,4)</f>
        <v>2.1335</v>
      </c>
      <c r="G374" s="26"/>
      <c r="H374" s="42"/>
    </row>
    <row r="375" spans="1:8" ht="12.75" customHeight="1">
      <c r="A375" s="27">
        <v>43724</v>
      </c>
      <c r="B375" s="28"/>
      <c r="C375" s="32">
        <f>ROUND(2.1076,4)</f>
        <v>2.1076</v>
      </c>
      <c r="D375" s="32">
        <f>F375</f>
        <v>2.1575</v>
      </c>
      <c r="E375" s="32">
        <f>F375</f>
        <v>2.1575</v>
      </c>
      <c r="F375" s="32">
        <f>ROUND(2.1575,4)</f>
        <v>2.1575</v>
      </c>
      <c r="G375" s="26"/>
      <c r="H375" s="42"/>
    </row>
    <row r="376" spans="1:8" ht="12.75" customHeight="1">
      <c r="A376" s="27">
        <v>43812</v>
      </c>
      <c r="B376" s="28"/>
      <c r="C376" s="32">
        <f>ROUND(2.1076,4)</f>
        <v>2.1076</v>
      </c>
      <c r="D376" s="32">
        <f>F376</f>
        <v>2.1803</v>
      </c>
      <c r="E376" s="32">
        <f>F376</f>
        <v>2.1803</v>
      </c>
      <c r="F376" s="32">
        <f>ROUND(2.1803,4)</f>
        <v>2.1803</v>
      </c>
      <c r="G376" s="26"/>
      <c r="H376" s="42"/>
    </row>
    <row r="377" spans="1:8" ht="12.75" customHeight="1">
      <c r="A377" s="27">
        <v>43906</v>
      </c>
      <c r="B377" s="28"/>
      <c r="C377" s="32">
        <f>ROUND(2.1076,4)</f>
        <v>2.1076</v>
      </c>
      <c r="D377" s="32">
        <f>F377</f>
        <v>2.135</v>
      </c>
      <c r="E377" s="32">
        <f>F377</f>
        <v>2.135</v>
      </c>
      <c r="F377" s="32">
        <f>ROUND(2.135,4)</f>
        <v>2.135</v>
      </c>
      <c r="G377" s="26"/>
      <c r="H377" s="42"/>
    </row>
    <row r="378" spans="1:8" ht="12.75" customHeight="1">
      <c r="A378" s="27">
        <v>43994</v>
      </c>
      <c r="B378" s="28"/>
      <c r="C378" s="32">
        <f>ROUND(2.1076,4)</f>
        <v>2.1076</v>
      </c>
      <c r="D378" s="32">
        <f>F378</f>
        <v>2.1586</v>
      </c>
      <c r="E378" s="32">
        <f>F378</f>
        <v>2.1586</v>
      </c>
      <c r="F378" s="32">
        <f>ROUND(2.1586,4)</f>
        <v>2.1586</v>
      </c>
      <c r="G378" s="26"/>
      <c r="H378" s="42"/>
    </row>
    <row r="379" spans="1:8" ht="12.75" customHeight="1">
      <c r="A379" s="27">
        <v>44088</v>
      </c>
      <c r="B379" s="28"/>
      <c r="C379" s="32">
        <f>ROUND(2.1076,4)</f>
        <v>2.1076</v>
      </c>
      <c r="D379" s="32">
        <f>F379</f>
        <v>2.1837</v>
      </c>
      <c r="E379" s="32">
        <f>F379</f>
        <v>2.1837</v>
      </c>
      <c r="F379" s="32">
        <f>ROUND(2.1837,4)</f>
        <v>2.1837</v>
      </c>
      <c r="G379" s="26"/>
      <c r="H379" s="42"/>
    </row>
    <row r="380" spans="1:8" ht="12.75" customHeight="1">
      <c r="A380" s="27">
        <v>44179</v>
      </c>
      <c r="B380" s="28"/>
      <c r="C380" s="32">
        <f>ROUND(2.1076,4)</f>
        <v>2.1076</v>
      </c>
      <c r="D380" s="32">
        <f>F380</f>
        <v>2.208</v>
      </c>
      <c r="E380" s="32">
        <f>F380</f>
        <v>2.208</v>
      </c>
      <c r="F380" s="32">
        <f>ROUND(2.208,4)</f>
        <v>2.208</v>
      </c>
      <c r="G380" s="26"/>
      <c r="H380" s="42"/>
    </row>
    <row r="381" spans="1:8" ht="12.75" customHeight="1">
      <c r="A381" s="27" t="s">
        <v>72</v>
      </c>
      <c r="B381" s="28"/>
      <c r="C381" s="29"/>
      <c r="D381" s="29"/>
      <c r="E381" s="29"/>
      <c r="F381" s="29"/>
      <c r="G381" s="26"/>
      <c r="H381" s="42"/>
    </row>
    <row r="382" spans="1:8" ht="12.75" customHeight="1">
      <c r="A382" s="27">
        <v>43542</v>
      </c>
      <c r="B382" s="28"/>
      <c r="C382" s="32">
        <f>ROUND(2.1457,4)</f>
        <v>2.1457</v>
      </c>
      <c r="D382" s="32">
        <f>F382</f>
        <v>2.1515</v>
      </c>
      <c r="E382" s="32">
        <f>F382</f>
        <v>2.1515</v>
      </c>
      <c r="F382" s="32">
        <f>ROUND(2.1515,4)</f>
        <v>2.1515</v>
      </c>
      <c r="G382" s="26"/>
      <c r="H382" s="42"/>
    </row>
    <row r="383" spans="1:8" ht="12.75" customHeight="1">
      <c r="A383" s="27">
        <v>43630</v>
      </c>
      <c r="B383" s="28"/>
      <c r="C383" s="32">
        <f>ROUND(2.1457,4)</f>
        <v>2.1457</v>
      </c>
      <c r="D383" s="32">
        <f>F383</f>
        <v>2.1914</v>
      </c>
      <c r="E383" s="32">
        <f>F383</f>
        <v>2.1914</v>
      </c>
      <c r="F383" s="32">
        <f>ROUND(2.1914,4)</f>
        <v>2.1914</v>
      </c>
      <c r="G383" s="26"/>
      <c r="H383" s="42"/>
    </row>
    <row r="384" spans="1:8" ht="12.75" customHeight="1">
      <c r="A384" s="27">
        <v>43724</v>
      </c>
      <c r="B384" s="28"/>
      <c r="C384" s="32">
        <f>ROUND(2.1457,4)</f>
        <v>2.1457</v>
      </c>
      <c r="D384" s="32">
        <f>F384</f>
        <v>2.2355</v>
      </c>
      <c r="E384" s="32">
        <f>F384</f>
        <v>2.2355</v>
      </c>
      <c r="F384" s="32">
        <f>ROUND(2.2355,4)</f>
        <v>2.2355</v>
      </c>
      <c r="G384" s="26"/>
      <c r="H384" s="42"/>
    </row>
    <row r="385" spans="1:8" ht="12.75" customHeight="1">
      <c r="A385" s="27">
        <v>43812</v>
      </c>
      <c r="B385" s="28"/>
      <c r="C385" s="32">
        <f>ROUND(2.1457,4)</f>
        <v>2.1457</v>
      </c>
      <c r="D385" s="32">
        <f>F385</f>
        <v>2.2779</v>
      </c>
      <c r="E385" s="32">
        <f>F385</f>
        <v>2.2779</v>
      </c>
      <c r="F385" s="32">
        <f>ROUND(2.2779,4)</f>
        <v>2.2779</v>
      </c>
      <c r="G385" s="26"/>
      <c r="H385" s="42"/>
    </row>
    <row r="386" spans="1:8" ht="12.75" customHeight="1">
      <c r="A386" s="27">
        <v>43906</v>
      </c>
      <c r="B386" s="28"/>
      <c r="C386" s="32">
        <f>ROUND(2.1457,4)</f>
        <v>2.1457</v>
      </c>
      <c r="D386" s="32">
        <f>F386</f>
        <v>2.3238</v>
      </c>
      <c r="E386" s="32">
        <f>F386</f>
        <v>2.3238</v>
      </c>
      <c r="F386" s="32">
        <f>ROUND(2.3238,4)</f>
        <v>2.3238</v>
      </c>
      <c r="G386" s="26"/>
      <c r="H386" s="42"/>
    </row>
    <row r="387" spans="1:8" ht="12.75" customHeight="1">
      <c r="A387" s="27">
        <v>43994</v>
      </c>
      <c r="B387" s="28"/>
      <c r="C387" s="32">
        <f>ROUND(2.1457,4)</f>
        <v>2.1457</v>
      </c>
      <c r="D387" s="32">
        <f>F387</f>
        <v>2.431</v>
      </c>
      <c r="E387" s="32">
        <f>F387</f>
        <v>2.431</v>
      </c>
      <c r="F387" s="32">
        <f>ROUND(2.431,4)</f>
        <v>2.431</v>
      </c>
      <c r="G387" s="26"/>
      <c r="H387" s="42"/>
    </row>
    <row r="388" spans="1:8" ht="12.75" customHeight="1">
      <c r="A388" s="27">
        <v>44088</v>
      </c>
      <c r="B388" s="28"/>
      <c r="C388" s="32">
        <f>ROUND(2.1457,4)</f>
        <v>2.1457</v>
      </c>
      <c r="D388" s="32">
        <f>F388</f>
        <v>2.4953</v>
      </c>
      <c r="E388" s="32">
        <f>F388</f>
        <v>2.4953</v>
      </c>
      <c r="F388" s="32">
        <f>ROUND(2.4953,4)</f>
        <v>2.4953</v>
      </c>
      <c r="G388" s="26"/>
      <c r="H388" s="42"/>
    </row>
    <row r="389" spans="1:8" ht="12.75" customHeight="1">
      <c r="A389" s="27">
        <v>44179</v>
      </c>
      <c r="B389" s="28"/>
      <c r="C389" s="32">
        <f>ROUND(2.1457,4)</f>
        <v>2.1457</v>
      </c>
      <c r="D389" s="32">
        <f>F389</f>
        <v>2.5626</v>
      </c>
      <c r="E389" s="32">
        <f>F389</f>
        <v>2.5626</v>
      </c>
      <c r="F389" s="32">
        <f>ROUND(2.5626,4)</f>
        <v>2.5626</v>
      </c>
      <c r="G389" s="26"/>
      <c r="H389" s="42"/>
    </row>
    <row r="390" spans="1:8" ht="12.75" customHeight="1">
      <c r="A390" s="27" t="s">
        <v>73</v>
      </c>
      <c r="B390" s="28"/>
      <c r="C390" s="29"/>
      <c r="D390" s="29"/>
      <c r="E390" s="29"/>
      <c r="F390" s="29"/>
      <c r="G390" s="26"/>
      <c r="H390" s="42"/>
    </row>
    <row r="391" spans="1:8" ht="12.75" customHeight="1">
      <c r="A391" s="27">
        <v>43542</v>
      </c>
      <c r="B391" s="28"/>
      <c r="C391" s="32">
        <f>ROUND(16.0102,4)</f>
        <v>16.0102</v>
      </c>
      <c r="D391" s="32">
        <f>F391</f>
        <v>16.0517</v>
      </c>
      <c r="E391" s="32">
        <f>F391</f>
        <v>16.0517</v>
      </c>
      <c r="F391" s="32">
        <f>ROUND(16.0517,4)</f>
        <v>16.0517</v>
      </c>
      <c r="G391" s="26"/>
      <c r="H391" s="42"/>
    </row>
    <row r="392" spans="1:8" ht="12.75" customHeight="1">
      <c r="A392" s="27">
        <v>43630</v>
      </c>
      <c r="B392" s="28"/>
      <c r="C392" s="32">
        <f>ROUND(16.0102,4)</f>
        <v>16.0102</v>
      </c>
      <c r="D392" s="32">
        <f>F392</f>
        <v>16.3415</v>
      </c>
      <c r="E392" s="32">
        <f>F392</f>
        <v>16.3415</v>
      </c>
      <c r="F392" s="32">
        <f>ROUND(16.3415,4)</f>
        <v>16.3415</v>
      </c>
      <c r="G392" s="26"/>
      <c r="H392" s="42"/>
    </row>
    <row r="393" spans="1:8" ht="12.75" customHeight="1">
      <c r="A393" s="27">
        <v>43724</v>
      </c>
      <c r="B393" s="28"/>
      <c r="C393" s="32">
        <f>ROUND(16.0102,4)</f>
        <v>16.0102</v>
      </c>
      <c r="D393" s="32">
        <f>F393</f>
        <v>16.6611</v>
      </c>
      <c r="E393" s="32">
        <f>F393</f>
        <v>16.6611</v>
      </c>
      <c r="F393" s="32">
        <f>ROUND(16.6611,4)</f>
        <v>16.6611</v>
      </c>
      <c r="G393" s="26"/>
      <c r="H393" s="42"/>
    </row>
    <row r="394" spans="1:8" ht="12.75" customHeight="1">
      <c r="A394" s="27">
        <v>43812</v>
      </c>
      <c r="B394" s="28"/>
      <c r="C394" s="32">
        <f>ROUND(16.0102,4)</f>
        <v>16.0102</v>
      </c>
      <c r="D394" s="32">
        <f>F394</f>
        <v>16.9676</v>
      </c>
      <c r="E394" s="32">
        <f>F394</f>
        <v>16.9676</v>
      </c>
      <c r="F394" s="32">
        <f>ROUND(16.9676,4)</f>
        <v>16.9676</v>
      </c>
      <c r="G394" s="26"/>
      <c r="H394" s="42"/>
    </row>
    <row r="395" spans="1:8" ht="12.75" customHeight="1">
      <c r="A395" s="27">
        <v>43906</v>
      </c>
      <c r="B395" s="28"/>
      <c r="C395" s="32">
        <f>ROUND(16.0102,4)</f>
        <v>16.0102</v>
      </c>
      <c r="D395" s="32">
        <f>F395</f>
        <v>17.302</v>
      </c>
      <c r="E395" s="32">
        <f>F395</f>
        <v>17.302</v>
      </c>
      <c r="F395" s="32">
        <f>ROUND(17.302,4)</f>
        <v>17.302</v>
      </c>
      <c r="G395" s="26"/>
      <c r="H395" s="42"/>
    </row>
    <row r="396" spans="1:8" ht="12.75" customHeight="1">
      <c r="A396" s="27">
        <v>43994</v>
      </c>
      <c r="B396" s="28"/>
      <c r="C396" s="32">
        <f>ROUND(16.0102,4)</f>
        <v>16.0102</v>
      </c>
      <c r="D396" s="32">
        <f>F396</f>
        <v>17.4488</v>
      </c>
      <c r="E396" s="32">
        <f>F396</f>
        <v>17.4488</v>
      </c>
      <c r="F396" s="32">
        <f>ROUND(17.4488,4)</f>
        <v>17.4488</v>
      </c>
      <c r="G396" s="26"/>
      <c r="H396" s="42"/>
    </row>
    <row r="397" spans="1:8" ht="12.75" customHeight="1">
      <c r="A397" s="27">
        <v>44088</v>
      </c>
      <c r="B397" s="28"/>
      <c r="C397" s="32">
        <f>ROUND(16.0102,4)</f>
        <v>16.0102</v>
      </c>
      <c r="D397" s="32">
        <f>F397</f>
        <v>17.8689</v>
      </c>
      <c r="E397" s="32">
        <f>F397</f>
        <v>17.8689</v>
      </c>
      <c r="F397" s="32">
        <f>ROUND(17.8689,4)</f>
        <v>17.8689</v>
      </c>
      <c r="G397" s="26"/>
      <c r="H397" s="42"/>
    </row>
    <row r="398" spans="1:8" ht="12.75" customHeight="1">
      <c r="A398" s="27">
        <v>44179</v>
      </c>
      <c r="B398" s="28"/>
      <c r="C398" s="32">
        <f>ROUND(16.0102,4)</f>
        <v>16.0102</v>
      </c>
      <c r="D398" s="32">
        <f>F398</f>
        <v>18.2805</v>
      </c>
      <c r="E398" s="32">
        <f>F398</f>
        <v>18.2805</v>
      </c>
      <c r="F398" s="32">
        <f>ROUND(18.2805,4)</f>
        <v>18.2805</v>
      </c>
      <c r="G398" s="26"/>
      <c r="H398" s="42"/>
    </row>
    <row r="399" spans="1:8" ht="12.75" customHeight="1">
      <c r="A399" s="27" t="s">
        <v>74</v>
      </c>
      <c r="B399" s="28"/>
      <c r="C399" s="29"/>
      <c r="D399" s="29"/>
      <c r="E399" s="29"/>
      <c r="F399" s="29"/>
      <c r="G399" s="26"/>
      <c r="H399" s="42"/>
    </row>
    <row r="400" spans="1:8" ht="12.75" customHeight="1">
      <c r="A400" s="27">
        <v>43542</v>
      </c>
      <c r="B400" s="28"/>
      <c r="C400" s="32">
        <f>ROUND(14.1346,4)</f>
        <v>14.1346</v>
      </c>
      <c r="D400" s="32">
        <f>F400</f>
        <v>14.1731</v>
      </c>
      <c r="E400" s="32">
        <f>F400</f>
        <v>14.1731</v>
      </c>
      <c r="F400" s="32">
        <f>ROUND(14.1731,4)</f>
        <v>14.1731</v>
      </c>
      <c r="G400" s="26"/>
      <c r="H400" s="42"/>
    </row>
    <row r="401" spans="1:8" ht="12.75" customHeight="1">
      <c r="A401" s="27">
        <v>43630</v>
      </c>
      <c r="B401" s="28"/>
      <c r="C401" s="32">
        <f>ROUND(14.1346,4)</f>
        <v>14.1346</v>
      </c>
      <c r="D401" s="32">
        <f>F401</f>
        <v>14.4416</v>
      </c>
      <c r="E401" s="32">
        <f>F401</f>
        <v>14.4416</v>
      </c>
      <c r="F401" s="32">
        <f>ROUND(14.4416,4)</f>
        <v>14.4416</v>
      </c>
      <c r="G401" s="26"/>
      <c r="H401" s="42"/>
    </row>
    <row r="402" spans="1:8" ht="12.75" customHeight="1">
      <c r="A402" s="27">
        <v>43724</v>
      </c>
      <c r="B402" s="28"/>
      <c r="C402" s="32">
        <f>ROUND(14.1346,4)</f>
        <v>14.1346</v>
      </c>
      <c r="D402" s="32">
        <f>F402</f>
        <v>14.7381</v>
      </c>
      <c r="E402" s="32">
        <f>F402</f>
        <v>14.7381</v>
      </c>
      <c r="F402" s="32">
        <f>ROUND(14.7381,4)</f>
        <v>14.7381</v>
      </c>
      <c r="G402" s="26"/>
      <c r="H402" s="42"/>
    </row>
    <row r="403" spans="1:8" ht="12.75" customHeight="1">
      <c r="A403" s="27">
        <v>43812</v>
      </c>
      <c r="B403" s="28"/>
      <c r="C403" s="32">
        <f>ROUND(14.1346,4)</f>
        <v>14.1346</v>
      </c>
      <c r="D403" s="32">
        <f>F403</f>
        <v>15.0236</v>
      </c>
      <c r="E403" s="32">
        <f>F403</f>
        <v>15.0236</v>
      </c>
      <c r="F403" s="32">
        <f>ROUND(15.0236,4)</f>
        <v>15.0236</v>
      </c>
      <c r="G403" s="26"/>
      <c r="H403" s="42"/>
    </row>
    <row r="404" spans="1:8" ht="12.75" customHeight="1">
      <c r="A404" s="27">
        <v>43906</v>
      </c>
      <c r="B404" s="28"/>
      <c r="C404" s="32">
        <f>ROUND(14.1346,4)</f>
        <v>14.1346</v>
      </c>
      <c r="D404" s="32">
        <f>F404</f>
        <v>15.3362</v>
      </c>
      <c r="E404" s="32">
        <f>F404</f>
        <v>15.3362</v>
      </c>
      <c r="F404" s="32">
        <f>ROUND(15.3362,4)</f>
        <v>15.3362</v>
      </c>
      <c r="G404" s="26"/>
      <c r="H404" s="42"/>
    </row>
    <row r="405" spans="1:8" ht="12.75" customHeight="1">
      <c r="A405" s="27">
        <v>43994</v>
      </c>
      <c r="B405" s="28"/>
      <c r="C405" s="32">
        <f>ROUND(14.1346,4)</f>
        <v>14.1346</v>
      </c>
      <c r="D405" s="32">
        <f>F405</f>
        <v>15.7997</v>
      </c>
      <c r="E405" s="32">
        <f>F405</f>
        <v>15.7997</v>
      </c>
      <c r="F405" s="32">
        <f>ROUND(15.7997,4)</f>
        <v>15.7997</v>
      </c>
      <c r="G405" s="26"/>
      <c r="H405" s="42"/>
    </row>
    <row r="406" spans="1:8" ht="12.75" customHeight="1">
      <c r="A406" s="27">
        <v>44088</v>
      </c>
      <c r="B406" s="28"/>
      <c r="C406" s="32">
        <f>ROUND(14.1346,4)</f>
        <v>14.1346</v>
      </c>
      <c r="D406" s="32">
        <f>F406</f>
        <v>16.0772</v>
      </c>
      <c r="E406" s="32">
        <f>F406</f>
        <v>16.0772</v>
      </c>
      <c r="F406" s="32">
        <f>ROUND(16.0772,4)</f>
        <v>16.0772</v>
      </c>
      <c r="G406" s="26"/>
      <c r="H406" s="42"/>
    </row>
    <row r="407" spans="1:8" ht="12.75" customHeight="1">
      <c r="A407" s="27">
        <v>44179</v>
      </c>
      <c r="B407" s="28"/>
      <c r="C407" s="32">
        <f>ROUND(14.1346,4)</f>
        <v>14.1346</v>
      </c>
      <c r="D407" s="32">
        <f>F407</f>
        <v>16.3677</v>
      </c>
      <c r="E407" s="32">
        <f>F407</f>
        <v>16.3677</v>
      </c>
      <c r="F407" s="32">
        <f>ROUND(16.3677,4)</f>
        <v>16.3677</v>
      </c>
      <c r="G407" s="26"/>
      <c r="H407" s="42"/>
    </row>
    <row r="408" spans="1:8" ht="12.75" customHeight="1">
      <c r="A408" s="27" t="s">
        <v>75</v>
      </c>
      <c r="B408" s="28"/>
      <c r="C408" s="29"/>
      <c r="D408" s="29"/>
      <c r="E408" s="29"/>
      <c r="F408" s="29"/>
      <c r="G408" s="26"/>
      <c r="H408" s="42"/>
    </row>
    <row r="409" spans="1:8" ht="12.75" customHeight="1">
      <c r="A409" s="27">
        <v>43542</v>
      </c>
      <c r="B409" s="28"/>
      <c r="C409" s="32">
        <f>ROUND(18.5683,4)</f>
        <v>18.5683</v>
      </c>
      <c r="D409" s="32">
        <f>F409</f>
        <v>18.6086</v>
      </c>
      <c r="E409" s="32">
        <f>F409</f>
        <v>18.6086</v>
      </c>
      <c r="F409" s="32">
        <f>ROUND(18.6086,4)</f>
        <v>18.6086</v>
      </c>
      <c r="G409" s="26"/>
      <c r="H409" s="42"/>
    </row>
    <row r="410" spans="1:8" ht="12.75" customHeight="1">
      <c r="A410" s="27">
        <v>43630</v>
      </c>
      <c r="B410" s="28"/>
      <c r="C410" s="32">
        <f>ROUND(18.5683,4)</f>
        <v>18.5683</v>
      </c>
      <c r="D410" s="32">
        <f>F410</f>
        <v>18.8878</v>
      </c>
      <c r="E410" s="32">
        <f>F410</f>
        <v>18.8878</v>
      </c>
      <c r="F410" s="32">
        <f>ROUND(18.8878,4)</f>
        <v>18.8878</v>
      </c>
      <c r="G410" s="26"/>
      <c r="H410" s="42"/>
    </row>
    <row r="411" spans="1:8" ht="12.75" customHeight="1">
      <c r="A411" s="27">
        <v>43724</v>
      </c>
      <c r="B411" s="28"/>
      <c r="C411" s="32">
        <f>ROUND(18.5683,4)</f>
        <v>18.5683</v>
      </c>
      <c r="D411" s="32">
        <f>F411</f>
        <v>19.1924</v>
      </c>
      <c r="E411" s="32">
        <f>F411</f>
        <v>19.1924</v>
      </c>
      <c r="F411" s="32">
        <f>ROUND(19.1924,4)</f>
        <v>19.1924</v>
      </c>
      <c r="G411" s="26"/>
      <c r="H411" s="42"/>
    </row>
    <row r="412" spans="1:8" ht="12.75" customHeight="1">
      <c r="A412" s="27">
        <v>43812</v>
      </c>
      <c r="B412" s="28"/>
      <c r="C412" s="32">
        <f>ROUND(18.5683,4)</f>
        <v>18.5683</v>
      </c>
      <c r="D412" s="32">
        <f>F412</f>
        <v>19.4807</v>
      </c>
      <c r="E412" s="32">
        <f>F412</f>
        <v>19.4807</v>
      </c>
      <c r="F412" s="32">
        <f>ROUND(19.4807,4)</f>
        <v>19.4807</v>
      </c>
      <c r="G412" s="26"/>
      <c r="H412" s="42"/>
    </row>
    <row r="413" spans="1:8" ht="12.75" customHeight="1">
      <c r="A413" s="27">
        <v>43906</v>
      </c>
      <c r="B413" s="28"/>
      <c r="C413" s="32">
        <f>ROUND(18.5683,4)</f>
        <v>18.5683</v>
      </c>
      <c r="D413" s="32">
        <f>F413</f>
        <v>19.7893</v>
      </c>
      <c r="E413" s="32">
        <f>F413</f>
        <v>19.7893</v>
      </c>
      <c r="F413" s="32">
        <f>ROUND(19.7893,4)</f>
        <v>19.7893</v>
      </c>
      <c r="G413" s="26"/>
      <c r="H413" s="42"/>
    </row>
    <row r="414" spans="1:8" ht="12.75" customHeight="1">
      <c r="A414" s="27">
        <v>43994</v>
      </c>
      <c r="B414" s="28"/>
      <c r="C414" s="32">
        <f>ROUND(18.5683,4)</f>
        <v>18.5683</v>
      </c>
      <c r="D414" s="32">
        <f>F414</f>
        <v>19.442</v>
      </c>
      <c r="E414" s="32">
        <f>F414</f>
        <v>19.442</v>
      </c>
      <c r="F414" s="32">
        <f>ROUND(19.442,4)</f>
        <v>19.442</v>
      </c>
      <c r="G414" s="26"/>
      <c r="H414" s="42"/>
    </row>
    <row r="415" spans="1:8" ht="12.75" customHeight="1">
      <c r="A415" s="27">
        <v>44088</v>
      </c>
      <c r="B415" s="28"/>
      <c r="C415" s="32">
        <f>ROUND(18.5683,4)</f>
        <v>18.5683</v>
      </c>
      <c r="D415" s="32">
        <f>F415</f>
        <v>19.5121</v>
      </c>
      <c r="E415" s="32">
        <f>F415</f>
        <v>19.5121</v>
      </c>
      <c r="F415" s="32">
        <f>ROUND(19.5121,4)</f>
        <v>19.5121</v>
      </c>
      <c r="G415" s="26"/>
      <c r="H415" s="42"/>
    </row>
    <row r="416" spans="1:8" ht="12.75" customHeight="1">
      <c r="A416" s="27">
        <v>44179</v>
      </c>
      <c r="B416" s="28"/>
      <c r="C416" s="32">
        <f>ROUND(18.5683,4)</f>
        <v>18.5683</v>
      </c>
      <c r="D416" s="32">
        <f>F416</f>
        <v>20.0497</v>
      </c>
      <c r="E416" s="32">
        <f>F416</f>
        <v>20.0497</v>
      </c>
      <c r="F416" s="32">
        <f>ROUND(20.0497,4)</f>
        <v>20.0497</v>
      </c>
      <c r="G416" s="26"/>
      <c r="H416" s="42"/>
    </row>
    <row r="417" spans="1:8" ht="12.75" customHeight="1">
      <c r="A417" s="27" t="s">
        <v>76</v>
      </c>
      <c r="B417" s="28"/>
      <c r="C417" s="29"/>
      <c r="D417" s="29"/>
      <c r="E417" s="29"/>
      <c r="F417" s="29"/>
      <c r="G417" s="26"/>
      <c r="H417" s="42"/>
    </row>
    <row r="418" spans="1:8" ht="12.75" customHeight="1">
      <c r="A418" s="27">
        <v>43542</v>
      </c>
      <c r="B418" s="28"/>
      <c r="C418" s="32">
        <f>ROUND(1.8006,4)</f>
        <v>1.8006</v>
      </c>
      <c r="D418" s="32">
        <f>F418</f>
        <v>1.8044</v>
      </c>
      <c r="E418" s="32">
        <f>F418</f>
        <v>1.8044</v>
      </c>
      <c r="F418" s="32">
        <f>ROUND(1.8044,4)</f>
        <v>1.8044</v>
      </c>
      <c r="G418" s="26"/>
      <c r="H418" s="42"/>
    </row>
    <row r="419" spans="1:8" ht="12.75" customHeight="1">
      <c r="A419" s="27">
        <v>43630</v>
      </c>
      <c r="B419" s="28"/>
      <c r="C419" s="32">
        <f>ROUND(1.8006,4)</f>
        <v>1.8006</v>
      </c>
      <c r="D419" s="32">
        <f>F419</f>
        <v>1.8277</v>
      </c>
      <c r="E419" s="32">
        <f>F419</f>
        <v>1.8277</v>
      </c>
      <c r="F419" s="32">
        <f>ROUND(1.8277,4)</f>
        <v>1.8277</v>
      </c>
      <c r="G419" s="26"/>
      <c r="H419" s="42"/>
    </row>
    <row r="420" spans="1:8" ht="12.75" customHeight="1">
      <c r="A420" s="27">
        <v>43724</v>
      </c>
      <c r="B420" s="28"/>
      <c r="C420" s="32">
        <f>ROUND(1.8006,4)</f>
        <v>1.8006</v>
      </c>
      <c r="D420" s="32">
        <f>F420</f>
        <v>1.8527</v>
      </c>
      <c r="E420" s="32">
        <f>F420</f>
        <v>1.8527</v>
      </c>
      <c r="F420" s="32">
        <f>ROUND(1.8527,4)</f>
        <v>1.8527</v>
      </c>
      <c r="G420" s="26"/>
      <c r="H420" s="42"/>
    </row>
    <row r="421" spans="1:8" ht="12.75" customHeight="1">
      <c r="A421" s="27">
        <v>43812</v>
      </c>
      <c r="B421" s="28"/>
      <c r="C421" s="32">
        <f>ROUND(1.8006,4)</f>
        <v>1.8006</v>
      </c>
      <c r="D421" s="32">
        <f>F421</f>
        <v>1.8757</v>
      </c>
      <c r="E421" s="32">
        <f>F421</f>
        <v>1.8757</v>
      </c>
      <c r="F421" s="32">
        <f>ROUND(1.8757,4)</f>
        <v>1.8757</v>
      </c>
      <c r="G421" s="26"/>
      <c r="H421" s="42"/>
    </row>
    <row r="422" spans="1:8" ht="12.75" customHeight="1">
      <c r="A422" s="27">
        <v>43906</v>
      </c>
      <c r="B422" s="28"/>
      <c r="C422" s="32">
        <f>ROUND(1.8006,4)</f>
        <v>1.8006</v>
      </c>
      <c r="D422" s="32">
        <f>F422</f>
        <v>1.9344</v>
      </c>
      <c r="E422" s="32">
        <f>F422</f>
        <v>1.9344</v>
      </c>
      <c r="F422" s="32">
        <f>ROUND(1.9344,4)</f>
        <v>1.9344</v>
      </c>
      <c r="G422" s="26"/>
      <c r="H422" s="42"/>
    </row>
    <row r="423" spans="1:8" ht="12.75" customHeight="1">
      <c r="A423" s="27">
        <v>43994</v>
      </c>
      <c r="B423" s="28"/>
      <c r="C423" s="32">
        <f>ROUND(1.8006,4)</f>
        <v>1.8006</v>
      </c>
      <c r="D423" s="32">
        <f>F423</f>
        <v>1.9614</v>
      </c>
      <c r="E423" s="32">
        <f>F423</f>
        <v>1.9614</v>
      </c>
      <c r="F423" s="32">
        <f>ROUND(1.9614,4)</f>
        <v>1.9614</v>
      </c>
      <c r="G423" s="26"/>
      <c r="H423" s="42"/>
    </row>
    <row r="424" spans="1:8" ht="12.75" customHeight="1">
      <c r="A424" s="27">
        <v>44088</v>
      </c>
      <c r="B424" s="28"/>
      <c r="C424" s="32">
        <f>ROUND(1.8006,4)</f>
        <v>1.8006</v>
      </c>
      <c r="D424" s="32">
        <f>F424</f>
        <v>1.9902</v>
      </c>
      <c r="E424" s="32">
        <f>F424</f>
        <v>1.9902</v>
      </c>
      <c r="F424" s="32">
        <f>ROUND(1.9902,4)</f>
        <v>1.9902</v>
      </c>
      <c r="G424" s="26"/>
      <c r="H424" s="42"/>
    </row>
    <row r="425" spans="1:8" ht="12.75" customHeight="1">
      <c r="A425" s="27">
        <v>44179</v>
      </c>
      <c r="B425" s="28"/>
      <c r="C425" s="32">
        <f>ROUND(1.8006,4)</f>
        <v>1.8006</v>
      </c>
      <c r="D425" s="32">
        <f>F425</f>
        <v>2.0208</v>
      </c>
      <c r="E425" s="32">
        <f>F425</f>
        <v>2.0208</v>
      </c>
      <c r="F425" s="32">
        <f>ROUND(2.0208,4)</f>
        <v>2.0208</v>
      </c>
      <c r="G425" s="26"/>
      <c r="H425" s="42"/>
    </row>
    <row r="426" spans="1:8" ht="12.75" customHeight="1">
      <c r="A426" s="27" t="s">
        <v>77</v>
      </c>
      <c r="B426" s="28"/>
      <c r="C426" s="29"/>
      <c r="D426" s="29"/>
      <c r="E426" s="29"/>
      <c r="F426" s="29"/>
      <c r="G426" s="26"/>
      <c r="H426" s="42"/>
    </row>
    <row r="427" spans="1:8" ht="12.75" customHeight="1">
      <c r="A427" s="27">
        <v>43542</v>
      </c>
      <c r="B427" s="28"/>
      <c r="C427" s="33">
        <f>ROUND(0.12639,6)</f>
        <v>0.12639</v>
      </c>
      <c r="D427" s="33">
        <f>F427</f>
        <v>0.1267</v>
      </c>
      <c r="E427" s="33">
        <f>F427</f>
        <v>0.1267</v>
      </c>
      <c r="F427" s="33">
        <f>ROUND(0.1267,6)</f>
        <v>0.1267</v>
      </c>
      <c r="G427" s="26"/>
      <c r="H427" s="42"/>
    </row>
    <row r="428" spans="1:8" ht="12.75" customHeight="1">
      <c r="A428" s="27">
        <v>43630</v>
      </c>
      <c r="B428" s="28"/>
      <c r="C428" s="33">
        <f>ROUND(0.12639,6)</f>
        <v>0.12639</v>
      </c>
      <c r="D428" s="33">
        <f>F428</f>
        <v>0.1289</v>
      </c>
      <c r="E428" s="33">
        <f>F428</f>
        <v>0.1289</v>
      </c>
      <c r="F428" s="33">
        <f>ROUND(0.1289,6)</f>
        <v>0.1289</v>
      </c>
      <c r="G428" s="26"/>
      <c r="H428" s="42"/>
    </row>
    <row r="429" spans="1:8" ht="12.75" customHeight="1">
      <c r="A429" s="27">
        <v>43724</v>
      </c>
      <c r="B429" s="28"/>
      <c r="C429" s="33">
        <f>ROUND(0.12639,6)</f>
        <v>0.12639</v>
      </c>
      <c r="D429" s="33">
        <f>F429</f>
        <v>0.1314</v>
      </c>
      <c r="E429" s="33">
        <f>F429</f>
        <v>0.1314</v>
      </c>
      <c r="F429" s="33">
        <f>ROUND(0.1314,6)</f>
        <v>0.1314</v>
      </c>
      <c r="G429" s="26"/>
      <c r="H429" s="42"/>
    </row>
    <row r="430" spans="1:8" ht="12.75" customHeight="1">
      <c r="A430" s="27">
        <v>43812</v>
      </c>
      <c r="B430" s="28"/>
      <c r="C430" s="33">
        <f>ROUND(0.12639,6)</f>
        <v>0.12639</v>
      </c>
      <c r="D430" s="33">
        <f>F430</f>
        <v>0.1338</v>
      </c>
      <c r="E430" s="33">
        <f>F430</f>
        <v>0.1338</v>
      </c>
      <c r="F430" s="33">
        <f>ROUND(0.1338,6)</f>
        <v>0.1338</v>
      </c>
      <c r="G430" s="26"/>
      <c r="H430" s="42"/>
    </row>
    <row r="431" spans="1:8" ht="12.75" customHeight="1">
      <c r="A431" s="27">
        <v>43906</v>
      </c>
      <c r="B431" s="28"/>
      <c r="C431" s="33">
        <f>ROUND(0.12639,6)</f>
        <v>0.12639</v>
      </c>
      <c r="D431" s="33">
        <f>F431</f>
        <v>0.1364</v>
      </c>
      <c r="E431" s="33">
        <f>F431</f>
        <v>0.1364</v>
      </c>
      <c r="F431" s="33">
        <f>ROUND(0.1364,6)</f>
        <v>0.1364</v>
      </c>
      <c r="G431" s="26"/>
      <c r="H431" s="42"/>
    </row>
    <row r="432" spans="1:8" ht="12.75" customHeight="1">
      <c r="A432" s="27">
        <v>43994</v>
      </c>
      <c r="B432" s="28"/>
      <c r="C432" s="33">
        <f>ROUND(0.12639,6)</f>
        <v>0.12639</v>
      </c>
      <c r="D432" s="33">
        <f>F432</f>
        <v>0.143665</v>
      </c>
      <c r="E432" s="33">
        <f>F432</f>
        <v>0.143665</v>
      </c>
      <c r="F432" s="33">
        <f>ROUND(0.143665,6)</f>
        <v>0.143665</v>
      </c>
      <c r="G432" s="26"/>
      <c r="H432" s="42"/>
    </row>
    <row r="433" spans="1:8" ht="12.75" customHeight="1">
      <c r="A433" s="27">
        <v>44088</v>
      </c>
      <c r="B433" s="28"/>
      <c r="C433" s="33">
        <f>ROUND(0.12639,6)</f>
        <v>0.12639</v>
      </c>
      <c r="D433" s="33">
        <f>F433</f>
        <v>0.146068</v>
      </c>
      <c r="E433" s="33">
        <f>F433</f>
        <v>0.146068</v>
      </c>
      <c r="F433" s="33">
        <f>ROUND(0.146068,6)</f>
        <v>0.146068</v>
      </c>
      <c r="G433" s="26"/>
      <c r="H433" s="42"/>
    </row>
    <row r="434" spans="1:8" ht="12.75" customHeight="1">
      <c r="A434" s="27">
        <v>44179</v>
      </c>
      <c r="B434" s="28"/>
      <c r="C434" s="33">
        <f>ROUND(0.12639,6)</f>
        <v>0.12639</v>
      </c>
      <c r="D434" s="33">
        <f>F434</f>
        <v>0.148093</v>
      </c>
      <c r="E434" s="33">
        <f>F434</f>
        <v>0.148093</v>
      </c>
      <c r="F434" s="33">
        <f>ROUND(0.148093,6)</f>
        <v>0.148093</v>
      </c>
      <c r="G434" s="26"/>
      <c r="H434" s="42"/>
    </row>
    <row r="435" spans="1:8" ht="12.75" customHeight="1">
      <c r="A435" s="27" t="s">
        <v>78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ROUND(0.1413,4)</f>
        <v>0.1413</v>
      </c>
      <c r="D436" s="32">
        <f>F436</f>
        <v>0.1412</v>
      </c>
      <c r="E436" s="32">
        <f>F436</f>
        <v>0.1412</v>
      </c>
      <c r="F436" s="32">
        <f>ROUND(0.1412,4)</f>
        <v>0.1412</v>
      </c>
      <c r="G436" s="26"/>
      <c r="H436" s="42"/>
    </row>
    <row r="437" spans="1:8" ht="12.75" customHeight="1">
      <c r="A437" s="27">
        <v>43630</v>
      </c>
      <c r="B437" s="28"/>
      <c r="C437" s="32">
        <f>ROUND(0.1413,4)</f>
        <v>0.1413</v>
      </c>
      <c r="D437" s="32">
        <f>F437</f>
        <v>0.1409</v>
      </c>
      <c r="E437" s="32">
        <f>F437</f>
        <v>0.1409</v>
      </c>
      <c r="F437" s="32">
        <f>ROUND(0.1409,4)</f>
        <v>0.1409</v>
      </c>
      <c r="G437" s="26"/>
      <c r="H437" s="42"/>
    </row>
    <row r="438" spans="1:8" ht="12.75" customHeight="1">
      <c r="A438" s="27">
        <v>43724</v>
      </c>
      <c r="B438" s="28"/>
      <c r="C438" s="32">
        <f>ROUND(0.1413,4)</f>
        <v>0.1413</v>
      </c>
      <c r="D438" s="32">
        <f>F438</f>
        <v>0.1403</v>
      </c>
      <c r="E438" s="32">
        <f>F438</f>
        <v>0.1403</v>
      </c>
      <c r="F438" s="32">
        <f>ROUND(0.1403,4)</f>
        <v>0.1403</v>
      </c>
      <c r="G438" s="26"/>
      <c r="H438" s="42"/>
    </row>
    <row r="439" spans="1:8" ht="12.75" customHeight="1">
      <c r="A439" s="27">
        <v>43812</v>
      </c>
      <c r="B439" s="28"/>
      <c r="C439" s="32">
        <f>ROUND(0.1413,4)</f>
        <v>0.1413</v>
      </c>
      <c r="D439" s="32">
        <f>F439</f>
        <v>0.14</v>
      </c>
      <c r="E439" s="32">
        <f>F439</f>
        <v>0.14</v>
      </c>
      <c r="F439" s="32">
        <f>ROUND(0.14,4)</f>
        <v>0.14</v>
      </c>
      <c r="G439" s="26"/>
      <c r="H439" s="42"/>
    </row>
    <row r="440" spans="1:8" ht="12.75" customHeight="1">
      <c r="A440" s="27">
        <v>43906</v>
      </c>
      <c r="B440" s="28"/>
      <c r="C440" s="32">
        <f>ROUND(0.1413,4)</f>
        <v>0.1413</v>
      </c>
      <c r="D440" s="32">
        <f>F440</f>
        <v>0.1397</v>
      </c>
      <c r="E440" s="32">
        <f>F440</f>
        <v>0.1397</v>
      </c>
      <c r="F440" s="32">
        <f>ROUND(0.1397,4)</f>
        <v>0.1397</v>
      </c>
      <c r="G440" s="26"/>
      <c r="H440" s="42"/>
    </row>
    <row r="441" spans="1:8" ht="12.75" customHeight="1">
      <c r="A441" s="27">
        <v>43994</v>
      </c>
      <c r="B441" s="28"/>
      <c r="C441" s="32">
        <f>ROUND(0.1413,4)</f>
        <v>0.1413</v>
      </c>
      <c r="D441" s="32">
        <f>F441</f>
        <v>0.1286</v>
      </c>
      <c r="E441" s="32">
        <f>F441</f>
        <v>0.1286</v>
      </c>
      <c r="F441" s="32">
        <f>ROUND(0.1286,4)</f>
        <v>0.1286</v>
      </c>
      <c r="G441" s="26"/>
      <c r="H441" s="42"/>
    </row>
    <row r="442" spans="1:8" ht="12.75" customHeight="1">
      <c r="A442" s="27" t="s">
        <v>79</v>
      </c>
      <c r="B442" s="28"/>
      <c r="C442" s="29"/>
      <c r="D442" s="29"/>
      <c r="E442" s="29"/>
      <c r="F442" s="29"/>
      <c r="G442" s="26"/>
      <c r="H442" s="42"/>
    </row>
    <row r="443" spans="1:8" ht="12.75" customHeight="1">
      <c r="A443" s="27">
        <v>43542</v>
      </c>
      <c r="B443" s="28"/>
      <c r="C443" s="32">
        <f>ROUND(1.6334,4)</f>
        <v>1.6334</v>
      </c>
      <c r="D443" s="32">
        <f>F443</f>
        <v>1.6368</v>
      </c>
      <c r="E443" s="32">
        <f>F443</f>
        <v>1.6368</v>
      </c>
      <c r="F443" s="32">
        <f>ROUND(1.6368,4)</f>
        <v>1.6368</v>
      </c>
      <c r="G443" s="26"/>
      <c r="H443" s="42"/>
    </row>
    <row r="444" spans="1:8" ht="12.75" customHeight="1">
      <c r="A444" s="27">
        <v>43630</v>
      </c>
      <c r="B444" s="28"/>
      <c r="C444" s="32">
        <f>ROUND(1.6334,4)</f>
        <v>1.6334</v>
      </c>
      <c r="D444" s="32">
        <f>F444</f>
        <v>1.6599</v>
      </c>
      <c r="E444" s="32">
        <f>F444</f>
        <v>1.6599</v>
      </c>
      <c r="F444" s="32">
        <f>ROUND(1.6599,4)</f>
        <v>1.6599</v>
      </c>
      <c r="G444" s="26"/>
      <c r="H444" s="42"/>
    </row>
    <row r="445" spans="1:8" ht="12.75" customHeight="1">
      <c r="A445" s="27">
        <v>43724</v>
      </c>
      <c r="B445" s="28"/>
      <c r="C445" s="32">
        <f>ROUND(1.6334,4)</f>
        <v>1.6334</v>
      </c>
      <c r="D445" s="32">
        <f>F445</f>
        <v>1.685</v>
      </c>
      <c r="E445" s="32">
        <f>F445</f>
        <v>1.685</v>
      </c>
      <c r="F445" s="32">
        <f>ROUND(1.685,4)</f>
        <v>1.685</v>
      </c>
      <c r="G445" s="26"/>
      <c r="H445" s="42"/>
    </row>
    <row r="446" spans="1:8" ht="12.75" customHeight="1">
      <c r="A446" s="27">
        <v>43812</v>
      </c>
      <c r="B446" s="28"/>
      <c r="C446" s="32">
        <f>ROUND(1.6334,4)</f>
        <v>1.6334</v>
      </c>
      <c r="D446" s="32">
        <f>F446</f>
        <v>1.7087</v>
      </c>
      <c r="E446" s="32">
        <f>F446</f>
        <v>1.7087</v>
      </c>
      <c r="F446" s="32">
        <f>ROUND(1.7087,4)</f>
        <v>1.7087</v>
      </c>
      <c r="G446" s="26"/>
      <c r="H446" s="42"/>
    </row>
    <row r="447" spans="1:8" ht="12.75" customHeight="1">
      <c r="A447" s="27">
        <v>43906</v>
      </c>
      <c r="B447" s="28"/>
      <c r="C447" s="32">
        <f>ROUND(1.6334,4)</f>
        <v>1.6334</v>
      </c>
      <c r="D447" s="32">
        <f>F447</f>
        <v>1.7274</v>
      </c>
      <c r="E447" s="32">
        <f>F447</f>
        <v>1.7274</v>
      </c>
      <c r="F447" s="32">
        <f>ROUND(1.7274,4)</f>
        <v>1.7274</v>
      </c>
      <c r="G447" s="26"/>
      <c r="H447" s="42"/>
    </row>
    <row r="448" spans="1:8" ht="12.75" customHeight="1">
      <c r="A448" s="27">
        <v>43994</v>
      </c>
      <c r="B448" s="28"/>
      <c r="C448" s="32">
        <f>ROUND(1.6334,4)</f>
        <v>1.6334</v>
      </c>
      <c r="D448" s="32">
        <f>F448</f>
        <v>1.753</v>
      </c>
      <c r="E448" s="32">
        <f>F448</f>
        <v>1.753</v>
      </c>
      <c r="F448" s="32">
        <f>ROUND(1.753,4)</f>
        <v>1.753</v>
      </c>
      <c r="G448" s="26"/>
      <c r="H448" s="42"/>
    </row>
    <row r="449" spans="1:8" ht="12.75" customHeight="1">
      <c r="A449" s="27">
        <v>44088</v>
      </c>
      <c r="B449" s="28"/>
      <c r="C449" s="32">
        <f>ROUND(1.6334,4)</f>
        <v>1.6334</v>
      </c>
      <c r="D449" s="32">
        <f>F449</f>
        <v>1.7829</v>
      </c>
      <c r="E449" s="32">
        <f>F449</f>
        <v>1.7829</v>
      </c>
      <c r="F449" s="32">
        <f>ROUND(1.7829,4)</f>
        <v>1.7829</v>
      </c>
      <c r="G449" s="26"/>
      <c r="H449" s="42"/>
    </row>
    <row r="450" spans="1:8" ht="12.75" customHeight="1">
      <c r="A450" s="27">
        <v>44179</v>
      </c>
      <c r="B450" s="28"/>
      <c r="C450" s="32">
        <f>ROUND(1.6334,4)</f>
        <v>1.6334</v>
      </c>
      <c r="D450" s="32">
        <f>F450</f>
        <v>1.8121</v>
      </c>
      <c r="E450" s="32">
        <f>F450</f>
        <v>1.8121</v>
      </c>
      <c r="F450" s="32">
        <f>ROUND(1.8121,4)</f>
        <v>1.8121</v>
      </c>
      <c r="G450" s="26"/>
      <c r="H450" s="42"/>
    </row>
    <row r="451" spans="1:8" ht="12.75" customHeight="1">
      <c r="A451" s="27" t="s">
        <v>80</v>
      </c>
      <c r="B451" s="28"/>
      <c r="C451" s="29"/>
      <c r="D451" s="29"/>
      <c r="E451" s="29"/>
      <c r="F451" s="29"/>
      <c r="G451" s="26"/>
      <c r="H451" s="42"/>
    </row>
    <row r="452" spans="1:8" ht="12.75" customHeight="1">
      <c r="A452" s="27">
        <v>43542</v>
      </c>
      <c r="B452" s="28"/>
      <c r="C452" s="32">
        <f>ROUND(9.6061,4)</f>
        <v>9.6061</v>
      </c>
      <c r="D452" s="32">
        <f>F452</f>
        <v>9.6234</v>
      </c>
      <c r="E452" s="32">
        <f>F452</f>
        <v>9.6234</v>
      </c>
      <c r="F452" s="32">
        <f>ROUND(9.6234,4)</f>
        <v>9.6234</v>
      </c>
      <c r="G452" s="26"/>
      <c r="H452" s="42"/>
    </row>
    <row r="453" spans="1:8" ht="12.75" customHeight="1">
      <c r="A453" s="27">
        <v>43630</v>
      </c>
      <c r="B453" s="28"/>
      <c r="C453" s="32">
        <f>ROUND(9.6061,4)</f>
        <v>9.6061</v>
      </c>
      <c r="D453" s="32">
        <f>F453</f>
        <v>9.741</v>
      </c>
      <c r="E453" s="32">
        <f>F453</f>
        <v>9.741</v>
      </c>
      <c r="F453" s="32">
        <f>ROUND(9.741,4)</f>
        <v>9.741</v>
      </c>
      <c r="G453" s="26"/>
      <c r="H453" s="42"/>
    </row>
    <row r="454" spans="1:8" ht="12.75" customHeight="1">
      <c r="A454" s="27">
        <v>43724</v>
      </c>
      <c r="B454" s="28"/>
      <c r="C454" s="32">
        <f>ROUND(9.6061,4)</f>
        <v>9.6061</v>
      </c>
      <c r="D454" s="32">
        <f>F454</f>
        <v>9.8705</v>
      </c>
      <c r="E454" s="32">
        <f>F454</f>
        <v>9.8705</v>
      </c>
      <c r="F454" s="32">
        <f>ROUND(9.8705,4)</f>
        <v>9.8705</v>
      </c>
      <c r="G454" s="26"/>
      <c r="H454" s="42"/>
    </row>
    <row r="455" spans="1:8" ht="12.75" customHeight="1">
      <c r="A455" s="27">
        <v>43812</v>
      </c>
      <c r="B455" s="28"/>
      <c r="C455" s="32">
        <f>ROUND(9.6061,4)</f>
        <v>9.6061</v>
      </c>
      <c r="D455" s="32">
        <f>F455</f>
        <v>9.9922</v>
      </c>
      <c r="E455" s="32">
        <f>F455</f>
        <v>9.9922</v>
      </c>
      <c r="F455" s="32">
        <f>ROUND(9.9922,4)</f>
        <v>9.9922</v>
      </c>
      <c r="G455" s="26"/>
      <c r="H455" s="42"/>
    </row>
    <row r="456" spans="1:8" ht="12.75" customHeight="1">
      <c r="A456" s="27">
        <v>43906</v>
      </c>
      <c r="B456" s="28"/>
      <c r="C456" s="32">
        <f>ROUND(9.6061,4)</f>
        <v>9.6061</v>
      </c>
      <c r="D456" s="32">
        <f>F456</f>
        <v>10.1236</v>
      </c>
      <c r="E456" s="32">
        <f>F456</f>
        <v>10.1236</v>
      </c>
      <c r="F456" s="32">
        <f>ROUND(10.1236,4)</f>
        <v>10.1236</v>
      </c>
      <c r="G456" s="26"/>
      <c r="H456" s="42"/>
    </row>
    <row r="457" spans="1:8" ht="12.75" customHeight="1">
      <c r="A457" s="27">
        <v>43994</v>
      </c>
      <c r="B457" s="28"/>
      <c r="C457" s="32">
        <f>ROUND(9.6061,4)</f>
        <v>9.6061</v>
      </c>
      <c r="D457" s="32">
        <f>F457</f>
        <v>10.4153</v>
      </c>
      <c r="E457" s="32">
        <f>F457</f>
        <v>10.4153</v>
      </c>
      <c r="F457" s="32">
        <f>ROUND(10.4153,4)</f>
        <v>10.4153</v>
      </c>
      <c r="G457" s="26"/>
      <c r="H457" s="42"/>
    </row>
    <row r="458" spans="1:8" ht="12.75" customHeight="1">
      <c r="A458" s="27">
        <v>44088</v>
      </c>
      <c r="B458" s="28"/>
      <c r="C458" s="32">
        <f>ROUND(9.6061,4)</f>
        <v>9.6061</v>
      </c>
      <c r="D458" s="32">
        <f>F458</f>
        <v>10.5747</v>
      </c>
      <c r="E458" s="32">
        <f>F458</f>
        <v>10.5747</v>
      </c>
      <c r="F458" s="32">
        <f>ROUND(10.5747,4)</f>
        <v>10.5747</v>
      </c>
      <c r="G458" s="26"/>
      <c r="H458" s="42"/>
    </row>
    <row r="459" spans="1:8" ht="12.75" customHeight="1">
      <c r="A459" s="27">
        <v>44179</v>
      </c>
      <c r="B459" s="28"/>
      <c r="C459" s="32">
        <f>ROUND(9.6061,4)</f>
        <v>9.6061</v>
      </c>
      <c r="D459" s="32">
        <f>F459</f>
        <v>10.7438</v>
      </c>
      <c r="E459" s="32">
        <f>F459</f>
        <v>10.7438</v>
      </c>
      <c r="F459" s="32">
        <f>ROUND(10.7438,4)</f>
        <v>10.7438</v>
      </c>
      <c r="G459" s="26"/>
      <c r="H459" s="42"/>
    </row>
    <row r="460" spans="1:8" ht="12.75" customHeight="1">
      <c r="A460" s="27" t="s">
        <v>81</v>
      </c>
      <c r="B460" s="28"/>
      <c r="C460" s="29"/>
      <c r="D460" s="29"/>
      <c r="E460" s="29"/>
      <c r="F460" s="29"/>
      <c r="G460" s="26"/>
      <c r="H460" s="42"/>
    </row>
    <row r="461" spans="1:8" ht="12.75" customHeight="1">
      <c r="A461" s="27">
        <v>43542</v>
      </c>
      <c r="B461" s="28"/>
      <c r="C461" s="32">
        <f>ROUND(10.4296,4)</f>
        <v>10.4296</v>
      </c>
      <c r="D461" s="32">
        <f>F461</f>
        <v>10.4479</v>
      </c>
      <c r="E461" s="32">
        <f>F461</f>
        <v>10.4479</v>
      </c>
      <c r="F461" s="32">
        <f>ROUND(10.4479,4)</f>
        <v>10.4479</v>
      </c>
      <c r="G461" s="26"/>
      <c r="H461" s="42"/>
    </row>
    <row r="462" spans="1:8" ht="12.75" customHeight="1">
      <c r="A462" s="27">
        <v>43630</v>
      </c>
      <c r="B462" s="28"/>
      <c r="C462" s="32">
        <f>ROUND(10.4296,4)</f>
        <v>10.4296</v>
      </c>
      <c r="D462" s="32">
        <f>F462</f>
        <v>10.5763</v>
      </c>
      <c r="E462" s="32">
        <f>F462</f>
        <v>10.5763</v>
      </c>
      <c r="F462" s="32">
        <f>ROUND(10.5763,4)</f>
        <v>10.5763</v>
      </c>
      <c r="G462" s="26"/>
      <c r="H462" s="42"/>
    </row>
    <row r="463" spans="1:8" ht="12.75" customHeight="1">
      <c r="A463" s="27">
        <v>43724</v>
      </c>
      <c r="B463" s="28"/>
      <c r="C463" s="32">
        <f>ROUND(10.4296,4)</f>
        <v>10.4296</v>
      </c>
      <c r="D463" s="32">
        <f>F463</f>
        <v>10.7189</v>
      </c>
      <c r="E463" s="32">
        <f>F463</f>
        <v>10.7189</v>
      </c>
      <c r="F463" s="32">
        <f>ROUND(10.7189,4)</f>
        <v>10.7189</v>
      </c>
      <c r="G463" s="26"/>
      <c r="H463" s="42"/>
    </row>
    <row r="464" spans="1:8" ht="12.75" customHeight="1">
      <c r="A464" s="27">
        <v>43812</v>
      </c>
      <c r="B464" s="28"/>
      <c r="C464" s="32">
        <f>ROUND(10.4296,4)</f>
        <v>10.4296</v>
      </c>
      <c r="D464" s="32">
        <f>F464</f>
        <v>10.8549</v>
      </c>
      <c r="E464" s="32">
        <f>F464</f>
        <v>10.8549</v>
      </c>
      <c r="F464" s="32">
        <f>ROUND(10.8549,4)</f>
        <v>10.8549</v>
      </c>
      <c r="G464" s="26"/>
      <c r="H464" s="42"/>
    </row>
    <row r="465" spans="1:8" ht="12.75" customHeight="1">
      <c r="A465" s="27">
        <v>43906</v>
      </c>
      <c r="B465" s="28"/>
      <c r="C465" s="32">
        <f>ROUND(10.4296,4)</f>
        <v>10.4296</v>
      </c>
      <c r="D465" s="32">
        <f>F465</f>
        <v>11.2259</v>
      </c>
      <c r="E465" s="32">
        <f>F465</f>
        <v>11.2259</v>
      </c>
      <c r="F465" s="32">
        <f>ROUND(11.2259,4)</f>
        <v>11.2259</v>
      </c>
      <c r="G465" s="26"/>
      <c r="H465" s="42"/>
    </row>
    <row r="466" spans="1:8" ht="12.75" customHeight="1">
      <c r="A466" s="27">
        <v>43994</v>
      </c>
      <c r="B466" s="28"/>
      <c r="C466" s="32">
        <f>ROUND(10.4296,4)</f>
        <v>10.4296</v>
      </c>
      <c r="D466" s="32">
        <f>F466</f>
        <v>11.4069</v>
      </c>
      <c r="E466" s="32">
        <f>F466</f>
        <v>11.4069</v>
      </c>
      <c r="F466" s="32">
        <f>ROUND(11.4069,4)</f>
        <v>11.4069</v>
      </c>
      <c r="G466" s="26"/>
      <c r="H466" s="42"/>
    </row>
    <row r="467" spans="1:8" ht="12.75" customHeight="1">
      <c r="A467" s="27">
        <v>44088</v>
      </c>
      <c r="B467" s="28"/>
      <c r="C467" s="32">
        <f>ROUND(10.4296,4)</f>
        <v>10.4296</v>
      </c>
      <c r="D467" s="32">
        <f>F467</f>
        <v>11.5813</v>
      </c>
      <c r="E467" s="32">
        <f>F467</f>
        <v>11.5813</v>
      </c>
      <c r="F467" s="32">
        <f>ROUND(11.5813,4)</f>
        <v>11.5813</v>
      </c>
      <c r="G467" s="26"/>
      <c r="H467" s="42"/>
    </row>
    <row r="468" spans="1:8" ht="12.75" customHeight="1">
      <c r="A468" s="27">
        <v>44179</v>
      </c>
      <c r="B468" s="28"/>
      <c r="C468" s="32">
        <f>ROUND(10.4296,4)</f>
        <v>10.4296</v>
      </c>
      <c r="D468" s="32">
        <f>F468</f>
        <v>11.7636</v>
      </c>
      <c r="E468" s="32">
        <f>F468</f>
        <v>11.7636</v>
      </c>
      <c r="F468" s="32">
        <f>ROUND(11.7636,4)</f>
        <v>11.7636</v>
      </c>
      <c r="G468" s="26"/>
      <c r="H468" s="42"/>
    </row>
    <row r="469" spans="1:8" ht="12.75" customHeight="1">
      <c r="A469" s="27" t="s">
        <v>82</v>
      </c>
      <c r="B469" s="28"/>
      <c r="C469" s="29"/>
      <c r="D469" s="29"/>
      <c r="E469" s="29"/>
      <c r="F469" s="29"/>
      <c r="G469" s="26"/>
      <c r="H469" s="42"/>
    </row>
    <row r="470" spans="1:8" ht="12.75" customHeight="1">
      <c r="A470" s="27">
        <v>43542</v>
      </c>
      <c r="B470" s="28"/>
      <c r="C470" s="32">
        <f>ROUND(2.6237,4)</f>
        <v>2.6237</v>
      </c>
      <c r="D470" s="32">
        <f>F470</f>
        <v>2.6079</v>
      </c>
      <c r="E470" s="32">
        <f>F470</f>
        <v>2.6079</v>
      </c>
      <c r="F470" s="32">
        <f>ROUND(2.6079,4)</f>
        <v>2.6079</v>
      </c>
      <c r="G470" s="26"/>
      <c r="H470" s="42"/>
    </row>
    <row r="471" spans="1:8" ht="12.75" customHeight="1">
      <c r="A471" s="27">
        <v>43630</v>
      </c>
      <c r="B471" s="28"/>
      <c r="C471" s="32">
        <f>ROUND(2.6237,4)</f>
        <v>2.6237</v>
      </c>
      <c r="D471" s="32">
        <f>F471</f>
        <v>2.5129</v>
      </c>
      <c r="E471" s="32">
        <f>F471</f>
        <v>2.5129</v>
      </c>
      <c r="F471" s="32">
        <f>ROUND(2.5129,4)</f>
        <v>2.5129</v>
      </c>
      <c r="G471" s="26"/>
      <c r="H471" s="42"/>
    </row>
    <row r="472" spans="1:8" ht="12.75" customHeight="1">
      <c r="A472" s="27">
        <v>43724</v>
      </c>
      <c r="B472" s="28"/>
      <c r="C472" s="32">
        <f>ROUND(2.6237,4)</f>
        <v>2.6237</v>
      </c>
      <c r="D472" s="32">
        <f>F472</f>
        <v>2.4327</v>
      </c>
      <c r="E472" s="32">
        <f>F472</f>
        <v>2.4327</v>
      </c>
      <c r="F472" s="32">
        <f>ROUND(2.4327,4)</f>
        <v>2.4327</v>
      </c>
      <c r="G472" s="26"/>
      <c r="H472" s="42"/>
    </row>
    <row r="473" spans="1:8" ht="12.75" customHeight="1">
      <c r="A473" s="27">
        <v>43812</v>
      </c>
      <c r="B473" s="28"/>
      <c r="C473" s="32">
        <f>ROUND(2.6237,4)</f>
        <v>2.6237</v>
      </c>
      <c r="D473" s="32">
        <f>F473</f>
        <v>2.3727</v>
      </c>
      <c r="E473" s="32">
        <f>F473</f>
        <v>2.3727</v>
      </c>
      <c r="F473" s="32">
        <f>ROUND(2.3727,4)</f>
        <v>2.3727</v>
      </c>
      <c r="G473" s="26"/>
      <c r="H473" s="42"/>
    </row>
    <row r="474" spans="1:8" ht="12.75" customHeight="1">
      <c r="A474" s="27">
        <v>43906</v>
      </c>
      <c r="B474" s="28"/>
      <c r="C474" s="32">
        <f>ROUND(2.6237,4)</f>
        <v>2.6237</v>
      </c>
      <c r="D474" s="32">
        <f>F474</f>
        <v>2.3149</v>
      </c>
      <c r="E474" s="32">
        <f>F474</f>
        <v>2.3149</v>
      </c>
      <c r="F474" s="32">
        <f>ROUND(2.3149,4)</f>
        <v>2.3149</v>
      </c>
      <c r="G474" s="26"/>
      <c r="H474" s="42"/>
    </row>
    <row r="475" spans="1:8" ht="12.75" customHeight="1">
      <c r="A475" s="27">
        <v>43994</v>
      </c>
      <c r="B475" s="28"/>
      <c r="C475" s="32">
        <f>ROUND(2.6237,4)</f>
        <v>2.6237</v>
      </c>
      <c r="D475" s="32">
        <f>F475</f>
        <v>2.269</v>
      </c>
      <c r="E475" s="32">
        <f>F475</f>
        <v>2.269</v>
      </c>
      <c r="F475" s="32">
        <f>ROUND(2.269,4)</f>
        <v>2.269</v>
      </c>
      <c r="G475" s="26"/>
      <c r="H475" s="42"/>
    </row>
    <row r="476" spans="1:8" ht="12.75" customHeight="1">
      <c r="A476" s="27">
        <v>44088</v>
      </c>
      <c r="B476" s="28"/>
      <c r="C476" s="32">
        <f>ROUND(2.6237,4)</f>
        <v>2.6237</v>
      </c>
      <c r="D476" s="32">
        <f>F476</f>
        <v>2.223</v>
      </c>
      <c r="E476" s="32">
        <f>F476</f>
        <v>2.223</v>
      </c>
      <c r="F476" s="32">
        <f>ROUND(2.223,4)</f>
        <v>2.223</v>
      </c>
      <c r="G476" s="26"/>
      <c r="H476" s="42"/>
    </row>
    <row r="477" spans="1:8" ht="12.75" customHeight="1">
      <c r="A477" s="27">
        <v>44179</v>
      </c>
      <c r="B477" s="28"/>
      <c r="C477" s="32">
        <f>ROUND(2.6237,4)</f>
        <v>2.6237</v>
      </c>
      <c r="D477" s="32">
        <f>F477</f>
        <v>2.1842</v>
      </c>
      <c r="E477" s="32">
        <f>F477</f>
        <v>2.1842</v>
      </c>
      <c r="F477" s="32">
        <f>ROUND(2.1842,4)</f>
        <v>2.1842</v>
      </c>
      <c r="G477" s="26"/>
      <c r="H477" s="42"/>
    </row>
    <row r="478" spans="1:8" ht="12.75" customHeight="1">
      <c r="A478" s="27" t="s">
        <v>83</v>
      </c>
      <c r="B478" s="28"/>
      <c r="C478" s="29"/>
      <c r="D478" s="29"/>
      <c r="E478" s="29"/>
      <c r="F478" s="29"/>
      <c r="G478" s="26"/>
      <c r="H478" s="42"/>
    </row>
    <row r="479" spans="1:8" ht="12.75" customHeight="1">
      <c r="A479" s="27">
        <v>43542</v>
      </c>
      <c r="B479" s="28"/>
      <c r="C479" s="32">
        <f>ROUND(14.1343,4)</f>
        <v>14.1343</v>
      </c>
      <c r="D479" s="32">
        <f>F479</f>
        <v>14.156</v>
      </c>
      <c r="E479" s="32">
        <f>F479</f>
        <v>14.156</v>
      </c>
      <c r="F479" s="32">
        <f>ROUND(14.156,4)</f>
        <v>14.156</v>
      </c>
      <c r="G479" s="26"/>
      <c r="H479" s="42"/>
    </row>
    <row r="480" spans="1:8" ht="12.75" customHeight="1">
      <c r="A480" s="27">
        <v>43630</v>
      </c>
      <c r="B480" s="28"/>
      <c r="C480" s="32">
        <f>ROUND(14.1343,4)</f>
        <v>14.1343</v>
      </c>
      <c r="D480" s="32">
        <f>F480</f>
        <v>14.3058</v>
      </c>
      <c r="E480" s="32">
        <f>F480</f>
        <v>14.3058</v>
      </c>
      <c r="F480" s="32">
        <f>ROUND(14.3058,4)</f>
        <v>14.3058</v>
      </c>
      <c r="G480" s="26"/>
      <c r="H480" s="42"/>
    </row>
    <row r="481" spans="1:8" ht="12.75" customHeight="1">
      <c r="A481" s="27">
        <v>43724</v>
      </c>
      <c r="B481" s="28"/>
      <c r="C481" s="32">
        <f>ROUND(14.1343,4)</f>
        <v>14.1343</v>
      </c>
      <c r="D481" s="32">
        <f>F481</f>
        <v>14.471</v>
      </c>
      <c r="E481" s="32">
        <f>F481</f>
        <v>14.471</v>
      </c>
      <c r="F481" s="32">
        <f>ROUND(14.471,4)</f>
        <v>14.471</v>
      </c>
      <c r="G481" s="26"/>
      <c r="H481" s="42"/>
    </row>
    <row r="482" spans="1:8" ht="12.75" customHeight="1">
      <c r="A482" s="27">
        <v>43812</v>
      </c>
      <c r="B482" s="28"/>
      <c r="C482" s="32">
        <f>ROUND(14.1343,4)</f>
        <v>14.1343</v>
      </c>
      <c r="D482" s="32">
        <f>F482</f>
        <v>14.6282</v>
      </c>
      <c r="E482" s="32">
        <f>F482</f>
        <v>14.6282</v>
      </c>
      <c r="F482" s="32">
        <f>ROUND(14.6282,4)</f>
        <v>14.6282</v>
      </c>
      <c r="G482" s="26"/>
      <c r="H482" s="42"/>
    </row>
    <row r="483" spans="1:8" ht="12.75" customHeight="1">
      <c r="A483" s="27">
        <v>43906</v>
      </c>
      <c r="B483" s="28"/>
      <c r="C483" s="32">
        <f>ROUND(14.1343,4)</f>
        <v>14.1343</v>
      </c>
      <c r="D483" s="32">
        <f>F483</f>
        <v>14.7968</v>
      </c>
      <c r="E483" s="32">
        <f>F483</f>
        <v>14.7968</v>
      </c>
      <c r="F483" s="32">
        <f>ROUND(14.7968,4)</f>
        <v>14.7968</v>
      </c>
      <c r="G483" s="26"/>
      <c r="H483" s="42"/>
    </row>
    <row r="484" spans="1:8" ht="12.75" customHeight="1">
      <c r="A484" s="27">
        <v>43994</v>
      </c>
      <c r="B484" s="28"/>
      <c r="C484" s="32">
        <f>ROUND(14.1343,4)</f>
        <v>14.1343</v>
      </c>
      <c r="D484" s="32">
        <f>F484</f>
        <v>14.7096</v>
      </c>
      <c r="E484" s="32">
        <f>F484</f>
        <v>14.7096</v>
      </c>
      <c r="F484" s="32">
        <f>ROUND(14.7096,4)</f>
        <v>14.7096</v>
      </c>
      <c r="G484" s="26"/>
      <c r="H484" s="42"/>
    </row>
    <row r="485" spans="1:8" ht="12.75" customHeight="1">
      <c r="A485" s="27">
        <v>44088</v>
      </c>
      <c r="B485" s="28"/>
      <c r="C485" s="32">
        <f>ROUND(14.1343,4)</f>
        <v>14.1343</v>
      </c>
      <c r="D485" s="32">
        <f>F485</f>
        <v>14.8908</v>
      </c>
      <c r="E485" s="32">
        <f>F485</f>
        <v>14.8908</v>
      </c>
      <c r="F485" s="32">
        <f>ROUND(14.8908,4)</f>
        <v>14.8908</v>
      </c>
      <c r="G485" s="26"/>
      <c r="H485" s="42"/>
    </row>
    <row r="486" spans="1:8" ht="12.75" customHeight="1">
      <c r="A486" s="27">
        <v>44179</v>
      </c>
      <c r="B486" s="28"/>
      <c r="C486" s="32">
        <f>ROUND(14.1343,4)</f>
        <v>14.1343</v>
      </c>
      <c r="D486" s="32">
        <f>F486</f>
        <v>15.0663</v>
      </c>
      <c r="E486" s="32">
        <f>F486</f>
        <v>15.0663</v>
      </c>
      <c r="F486" s="32">
        <f>ROUND(15.0663,4)</f>
        <v>15.0663</v>
      </c>
      <c r="G486" s="26"/>
      <c r="H486" s="42"/>
    </row>
    <row r="487" spans="1:8" ht="12.75" customHeight="1">
      <c r="A487" s="27" t="s">
        <v>84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43542</v>
      </c>
      <c r="B488" s="28"/>
      <c r="C488" s="32">
        <f>ROUND(14.1343,4)</f>
        <v>14.1343</v>
      </c>
      <c r="D488" s="32">
        <f>F488</f>
        <v>14.156</v>
      </c>
      <c r="E488" s="32">
        <f>F488</f>
        <v>14.156</v>
      </c>
      <c r="F488" s="32">
        <f>ROUND(14.156,4)</f>
        <v>14.156</v>
      </c>
      <c r="G488" s="26"/>
      <c r="H488" s="42"/>
    </row>
    <row r="489" spans="1:8" ht="12.75" customHeight="1">
      <c r="A489" s="27">
        <v>43630</v>
      </c>
      <c r="B489" s="28"/>
      <c r="C489" s="32">
        <f>ROUND(14.1343,4)</f>
        <v>14.1343</v>
      </c>
      <c r="D489" s="32">
        <f>F489</f>
        <v>14.3058</v>
      </c>
      <c r="E489" s="32">
        <f>F489</f>
        <v>14.3058</v>
      </c>
      <c r="F489" s="32">
        <f>ROUND(14.3058,4)</f>
        <v>14.3058</v>
      </c>
      <c r="G489" s="26"/>
      <c r="H489" s="42"/>
    </row>
    <row r="490" spans="1:8" ht="12.75" customHeight="1">
      <c r="A490" s="27">
        <v>43724</v>
      </c>
      <c r="B490" s="28"/>
      <c r="C490" s="32">
        <f>ROUND(14.1343,4)</f>
        <v>14.1343</v>
      </c>
      <c r="D490" s="32">
        <f>F490</f>
        <v>14.471</v>
      </c>
      <c r="E490" s="32">
        <f>F490</f>
        <v>14.471</v>
      </c>
      <c r="F490" s="32">
        <f>ROUND(14.471,4)</f>
        <v>14.471</v>
      </c>
      <c r="G490" s="26"/>
      <c r="H490" s="42"/>
    </row>
    <row r="491" spans="1:8" ht="12.75" customHeight="1">
      <c r="A491" s="27">
        <v>43812</v>
      </c>
      <c r="B491" s="28"/>
      <c r="C491" s="32">
        <f>ROUND(14.1343,4)</f>
        <v>14.1343</v>
      </c>
      <c r="D491" s="32">
        <f>F491</f>
        <v>14.6282</v>
      </c>
      <c r="E491" s="32">
        <f>F491</f>
        <v>14.6282</v>
      </c>
      <c r="F491" s="32">
        <f>ROUND(14.6282,4)</f>
        <v>14.6282</v>
      </c>
      <c r="G491" s="26"/>
      <c r="H491" s="42"/>
    </row>
    <row r="492" spans="1:8" ht="12.75" customHeight="1">
      <c r="A492" s="27">
        <v>43906</v>
      </c>
      <c r="B492" s="28"/>
      <c r="C492" s="32">
        <f>ROUND(14.1343,4)</f>
        <v>14.1343</v>
      </c>
      <c r="D492" s="32">
        <f>F492</f>
        <v>14.7968</v>
      </c>
      <c r="E492" s="32">
        <f>F492</f>
        <v>14.7968</v>
      </c>
      <c r="F492" s="32">
        <f>ROUND(14.7968,4)</f>
        <v>14.7968</v>
      </c>
      <c r="G492" s="26"/>
      <c r="H492" s="42"/>
    </row>
    <row r="493" spans="1:8" ht="12.75" customHeight="1">
      <c r="A493" s="27">
        <v>43994</v>
      </c>
      <c r="B493" s="28"/>
      <c r="C493" s="32">
        <f>ROUND(14.1343,4)</f>
        <v>14.1343</v>
      </c>
      <c r="D493" s="32">
        <f>F493</f>
        <v>14.9655</v>
      </c>
      <c r="E493" s="32">
        <f>F493</f>
        <v>14.9655</v>
      </c>
      <c r="F493" s="32">
        <f>ROUND(14.9655,4)</f>
        <v>14.9655</v>
      </c>
      <c r="G493" s="26"/>
      <c r="H493" s="42"/>
    </row>
    <row r="494" spans="1:8" ht="12.75" customHeight="1">
      <c r="A494" s="27">
        <v>44088</v>
      </c>
      <c r="B494" s="28"/>
      <c r="C494" s="32">
        <f>ROUND(14.1343,4)</f>
        <v>14.1343</v>
      </c>
      <c r="D494" s="32">
        <f>F494</f>
        <v>15.1418</v>
      </c>
      <c r="E494" s="32">
        <f>F494</f>
        <v>15.1418</v>
      </c>
      <c r="F494" s="32">
        <f>ROUND(15.1418,4)</f>
        <v>15.1418</v>
      </c>
      <c r="G494" s="26"/>
      <c r="H494" s="42"/>
    </row>
    <row r="495" spans="1:8" ht="12.75" customHeight="1">
      <c r="A495" s="27">
        <v>44179</v>
      </c>
      <c r="B495" s="28"/>
      <c r="C495" s="32">
        <f>ROUND(14.1343,4)</f>
        <v>14.1343</v>
      </c>
      <c r="D495" s="32">
        <f>F495</f>
        <v>15.0663</v>
      </c>
      <c r="E495" s="32">
        <f>F495</f>
        <v>15.0663</v>
      </c>
      <c r="F495" s="32">
        <f>ROUND(15.0663,4)</f>
        <v>15.0663</v>
      </c>
      <c r="G495" s="26"/>
      <c r="H495" s="42"/>
    </row>
    <row r="496" spans="1:8" ht="12.75" customHeight="1">
      <c r="A496" s="27">
        <v>44270</v>
      </c>
      <c r="B496" s="28"/>
      <c r="C496" s="32">
        <f>ROUND(14.1343,4)</f>
        <v>14.1343</v>
      </c>
      <c r="D496" s="32">
        <f>F496</f>
        <v>15.2643</v>
      </c>
      <c r="E496" s="32">
        <f>F496</f>
        <v>15.2643</v>
      </c>
      <c r="F496" s="32">
        <f>ROUND(15.2643,4)</f>
        <v>15.2643</v>
      </c>
      <c r="G496" s="26"/>
      <c r="H496" s="42"/>
    </row>
    <row r="497" spans="1:8" ht="12.75" customHeight="1">
      <c r="A497" s="27">
        <v>44358</v>
      </c>
      <c r="B497" s="28"/>
      <c r="C497" s="32">
        <f>ROUND(14.1343,4)</f>
        <v>14.1343</v>
      </c>
      <c r="D497" s="32">
        <f>F497</f>
        <v>15.4744</v>
      </c>
      <c r="E497" s="32">
        <f>F497</f>
        <v>15.4744</v>
      </c>
      <c r="F497" s="32">
        <f>ROUND(15.4744,4)</f>
        <v>15.4744</v>
      </c>
      <c r="G497" s="26"/>
      <c r="H497" s="42"/>
    </row>
    <row r="498" spans="1:8" ht="12.75" customHeight="1">
      <c r="A498" s="27">
        <v>44452</v>
      </c>
      <c r="B498" s="28"/>
      <c r="C498" s="32">
        <f>ROUND(14.1343,4)</f>
        <v>14.1343</v>
      </c>
      <c r="D498" s="32">
        <f>F498</f>
        <v>15.6989</v>
      </c>
      <c r="E498" s="32">
        <f>F498</f>
        <v>15.6989</v>
      </c>
      <c r="F498" s="32">
        <f>ROUND(15.6989,4)</f>
        <v>15.6989</v>
      </c>
      <c r="G498" s="26"/>
      <c r="H498" s="42"/>
    </row>
    <row r="499" spans="1:8" ht="12.75" customHeight="1">
      <c r="A499" s="27">
        <v>44550</v>
      </c>
      <c r="B499" s="28"/>
      <c r="C499" s="32">
        <f>ROUND(14.1343,4)</f>
        <v>14.1343</v>
      </c>
      <c r="D499" s="32">
        <f>F499</f>
        <v>15.933</v>
      </c>
      <c r="E499" s="32">
        <f>F499</f>
        <v>15.933</v>
      </c>
      <c r="F499" s="32">
        <f>ROUND(15.933,4)</f>
        <v>15.933</v>
      </c>
      <c r="G499" s="26"/>
      <c r="H499" s="42"/>
    </row>
    <row r="500" spans="1:8" ht="12.75" customHeight="1">
      <c r="A500" s="27">
        <v>44634</v>
      </c>
      <c r="B500" s="28"/>
      <c r="C500" s="32">
        <f>ROUND(14.1343,4)</f>
        <v>14.1343</v>
      </c>
      <c r="D500" s="32">
        <f>F500</f>
        <v>16.1336</v>
      </c>
      <c r="E500" s="32">
        <f>F500</f>
        <v>16.1336</v>
      </c>
      <c r="F500" s="32">
        <f>ROUND(16.1336,4)</f>
        <v>16.1336</v>
      </c>
      <c r="G500" s="26"/>
      <c r="H500" s="42"/>
    </row>
    <row r="501" spans="1:8" ht="12.75" customHeight="1">
      <c r="A501" s="27" t="s">
        <v>85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43587</v>
      </c>
      <c r="B502" s="28"/>
      <c r="C502" s="31">
        <f>ROUND(710.796,3)</f>
        <v>710.796</v>
      </c>
      <c r="D502" s="31">
        <f>F502</f>
        <v>719.014</v>
      </c>
      <c r="E502" s="31">
        <f>F502</f>
        <v>719.014</v>
      </c>
      <c r="F502" s="31">
        <f>ROUND(719.014,3)</f>
        <v>719.014</v>
      </c>
      <c r="G502" s="26"/>
      <c r="H502" s="42"/>
    </row>
    <row r="503" spans="1:8" ht="12.75" customHeight="1">
      <c r="A503" s="27">
        <v>43678</v>
      </c>
      <c r="B503" s="28"/>
      <c r="C503" s="31">
        <f>ROUND(710.796,3)</f>
        <v>710.796</v>
      </c>
      <c r="D503" s="31">
        <f>F503</f>
        <v>732.569</v>
      </c>
      <c r="E503" s="31">
        <f>F503</f>
        <v>732.569</v>
      </c>
      <c r="F503" s="31">
        <f>ROUND(732.569,3)</f>
        <v>732.569</v>
      </c>
      <c r="G503" s="26"/>
      <c r="H503" s="42"/>
    </row>
    <row r="504" spans="1:8" ht="12.75" customHeight="1">
      <c r="A504" s="27">
        <v>43776</v>
      </c>
      <c r="B504" s="28"/>
      <c r="C504" s="31">
        <f>ROUND(710.796,3)</f>
        <v>710.796</v>
      </c>
      <c r="D504" s="31">
        <f>F504</f>
        <v>747.992</v>
      </c>
      <c r="E504" s="31">
        <f>F504</f>
        <v>747.992</v>
      </c>
      <c r="F504" s="31">
        <f>ROUND(747.992,3)</f>
        <v>747.992</v>
      </c>
      <c r="G504" s="26"/>
      <c r="H504" s="42"/>
    </row>
    <row r="505" spans="1:8" ht="12.75" customHeight="1">
      <c r="A505" s="27">
        <v>43867</v>
      </c>
      <c r="B505" s="28"/>
      <c r="C505" s="31">
        <f>ROUND(710.796,3)</f>
        <v>710.796</v>
      </c>
      <c r="D505" s="31">
        <f>F505</f>
        <v>763.093</v>
      </c>
      <c r="E505" s="31">
        <f>F505</f>
        <v>763.093</v>
      </c>
      <c r="F505" s="31">
        <f>ROUND(763.093,3)</f>
        <v>763.093</v>
      </c>
      <c r="G505" s="26"/>
      <c r="H505" s="42"/>
    </row>
    <row r="506" spans="1:8" ht="12.75" customHeight="1">
      <c r="A506" s="27" t="s">
        <v>86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43587</v>
      </c>
      <c r="B507" s="28"/>
      <c r="C507" s="31">
        <f>ROUND(622.58,3)</f>
        <v>622.58</v>
      </c>
      <c r="D507" s="31">
        <f>F507</f>
        <v>629.778</v>
      </c>
      <c r="E507" s="31">
        <f>F507</f>
        <v>629.778</v>
      </c>
      <c r="F507" s="31">
        <f>ROUND(629.778,3)</f>
        <v>629.778</v>
      </c>
      <c r="G507" s="26"/>
      <c r="H507" s="42"/>
    </row>
    <row r="508" spans="1:8" ht="12.75" customHeight="1">
      <c r="A508" s="27">
        <v>43678</v>
      </c>
      <c r="B508" s="28"/>
      <c r="C508" s="31">
        <f>ROUND(622.58,3)</f>
        <v>622.58</v>
      </c>
      <c r="D508" s="31">
        <f>F508</f>
        <v>641.651</v>
      </c>
      <c r="E508" s="31">
        <f>F508</f>
        <v>641.651</v>
      </c>
      <c r="F508" s="31">
        <f>ROUND(641.651,3)</f>
        <v>641.651</v>
      </c>
      <c r="G508" s="26"/>
      <c r="H508" s="42"/>
    </row>
    <row r="509" spans="1:8" ht="12.75" customHeight="1">
      <c r="A509" s="27">
        <v>43776</v>
      </c>
      <c r="B509" s="28"/>
      <c r="C509" s="31">
        <f>ROUND(622.58,3)</f>
        <v>622.58</v>
      </c>
      <c r="D509" s="31">
        <f>F509</f>
        <v>655.16</v>
      </c>
      <c r="E509" s="31">
        <f>F509</f>
        <v>655.16</v>
      </c>
      <c r="F509" s="31">
        <f>ROUND(655.16,3)</f>
        <v>655.16</v>
      </c>
      <c r="G509" s="26"/>
      <c r="H509" s="42"/>
    </row>
    <row r="510" spans="1:8" ht="12.75" customHeight="1">
      <c r="A510" s="27">
        <v>43867</v>
      </c>
      <c r="B510" s="28"/>
      <c r="C510" s="31">
        <f>ROUND(622.58,3)</f>
        <v>622.58</v>
      </c>
      <c r="D510" s="31">
        <f>F510</f>
        <v>668.387</v>
      </c>
      <c r="E510" s="31">
        <f>F510</f>
        <v>668.387</v>
      </c>
      <c r="F510" s="31">
        <f>ROUND(668.387,3)</f>
        <v>668.387</v>
      </c>
      <c r="G510" s="26"/>
      <c r="H510" s="42"/>
    </row>
    <row r="511" spans="1:8" ht="12.75" customHeight="1">
      <c r="A511" s="27" t="s">
        <v>87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43587</v>
      </c>
      <c r="B512" s="28"/>
      <c r="C512" s="31">
        <f>ROUND(720.269,3)</f>
        <v>720.269</v>
      </c>
      <c r="D512" s="31">
        <f>F512</f>
        <v>728.596</v>
      </c>
      <c r="E512" s="31">
        <f>F512</f>
        <v>728.596</v>
      </c>
      <c r="F512" s="31">
        <f>ROUND(728.596,3)</f>
        <v>728.596</v>
      </c>
      <c r="G512" s="26"/>
      <c r="H512" s="42"/>
    </row>
    <row r="513" spans="1:8" ht="12.75" customHeight="1">
      <c r="A513" s="27">
        <v>43678</v>
      </c>
      <c r="B513" s="28"/>
      <c r="C513" s="31">
        <f>ROUND(720.269,3)</f>
        <v>720.269</v>
      </c>
      <c r="D513" s="31">
        <f>F513</f>
        <v>742.332</v>
      </c>
      <c r="E513" s="31">
        <f>F513</f>
        <v>742.332</v>
      </c>
      <c r="F513" s="31">
        <f>ROUND(742.332,3)</f>
        <v>742.332</v>
      </c>
      <c r="G513" s="26"/>
      <c r="H513" s="42"/>
    </row>
    <row r="514" spans="1:8" ht="12.75" customHeight="1">
      <c r="A514" s="27">
        <v>43776</v>
      </c>
      <c r="B514" s="28"/>
      <c r="C514" s="31">
        <f>ROUND(720.269,3)</f>
        <v>720.269</v>
      </c>
      <c r="D514" s="31">
        <f>F514</f>
        <v>757.961</v>
      </c>
      <c r="E514" s="31">
        <f>F514</f>
        <v>757.961</v>
      </c>
      <c r="F514" s="31">
        <f>ROUND(757.961,3)</f>
        <v>757.961</v>
      </c>
      <c r="G514" s="26"/>
      <c r="H514" s="42"/>
    </row>
    <row r="515" spans="1:8" ht="12.75" customHeight="1">
      <c r="A515" s="27">
        <v>43867</v>
      </c>
      <c r="B515" s="28"/>
      <c r="C515" s="31">
        <f>ROUND(720.269,3)</f>
        <v>720.269</v>
      </c>
      <c r="D515" s="31">
        <f>F515</f>
        <v>773.263</v>
      </c>
      <c r="E515" s="31">
        <f>F515</f>
        <v>773.263</v>
      </c>
      <c r="F515" s="31">
        <f>ROUND(773.263,3)</f>
        <v>773.263</v>
      </c>
      <c r="G515" s="26"/>
      <c r="H515" s="42"/>
    </row>
    <row r="516" spans="1:8" ht="12.75" customHeight="1">
      <c r="A516" s="27" t="s">
        <v>88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43587</v>
      </c>
      <c r="B517" s="28"/>
      <c r="C517" s="31">
        <f>ROUND(652.474,3)</f>
        <v>652.474</v>
      </c>
      <c r="D517" s="31">
        <f>F517</f>
        <v>660.017</v>
      </c>
      <c r="E517" s="31">
        <f>F517</f>
        <v>660.017</v>
      </c>
      <c r="F517" s="31">
        <f>ROUND(660.017,3)</f>
        <v>660.017</v>
      </c>
      <c r="G517" s="26"/>
      <c r="H517" s="42"/>
    </row>
    <row r="518" spans="1:8" ht="12.75" customHeight="1">
      <c r="A518" s="27">
        <v>43678</v>
      </c>
      <c r="B518" s="28"/>
      <c r="C518" s="31">
        <f>ROUND(652.474,3)</f>
        <v>652.474</v>
      </c>
      <c r="D518" s="31">
        <f>F518</f>
        <v>672.461</v>
      </c>
      <c r="E518" s="31">
        <f>F518</f>
        <v>672.461</v>
      </c>
      <c r="F518" s="31">
        <f>ROUND(672.461,3)</f>
        <v>672.461</v>
      </c>
      <c r="G518" s="26"/>
      <c r="H518" s="42"/>
    </row>
    <row r="519" spans="1:8" ht="12.75" customHeight="1">
      <c r="A519" s="27">
        <v>43776</v>
      </c>
      <c r="B519" s="28"/>
      <c r="C519" s="31">
        <f>ROUND(652.474,3)</f>
        <v>652.474</v>
      </c>
      <c r="D519" s="31">
        <f>F519</f>
        <v>686.618</v>
      </c>
      <c r="E519" s="31">
        <f>F519</f>
        <v>686.618</v>
      </c>
      <c r="F519" s="31">
        <f>ROUND(686.618,3)</f>
        <v>686.618</v>
      </c>
      <c r="G519" s="26"/>
      <c r="H519" s="42"/>
    </row>
    <row r="520" spans="1:8" ht="12.75" customHeight="1">
      <c r="A520" s="27">
        <v>43867</v>
      </c>
      <c r="B520" s="28"/>
      <c r="C520" s="31">
        <f>ROUND(652.474,3)</f>
        <v>652.474</v>
      </c>
      <c r="D520" s="31">
        <f>F520</f>
        <v>700.48</v>
      </c>
      <c r="E520" s="31">
        <f>F520</f>
        <v>700.48</v>
      </c>
      <c r="F520" s="31">
        <f>ROUND(700.48,3)</f>
        <v>700.48</v>
      </c>
      <c r="G520" s="26"/>
      <c r="H520" s="42"/>
    </row>
    <row r="521" spans="1:8" ht="12.75" customHeight="1">
      <c r="A521" s="27" t="s">
        <v>89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43587</v>
      </c>
      <c r="B522" s="28"/>
      <c r="C522" s="31">
        <f>ROUND(254.950538038402,3)</f>
        <v>254.951</v>
      </c>
      <c r="D522" s="31">
        <f>F522</f>
        <v>257.939</v>
      </c>
      <c r="E522" s="31">
        <f>F522</f>
        <v>257.939</v>
      </c>
      <c r="F522" s="31">
        <f>ROUND(257.939,3)</f>
        <v>257.939</v>
      </c>
      <c r="G522" s="26"/>
      <c r="H522" s="42"/>
    </row>
    <row r="523" spans="1:8" ht="12.75" customHeight="1">
      <c r="A523" s="27">
        <v>43678</v>
      </c>
      <c r="B523" s="28"/>
      <c r="C523" s="31">
        <f>ROUND(254.950538038402,3)</f>
        <v>254.951</v>
      </c>
      <c r="D523" s="31">
        <f>F523</f>
        <v>262.864</v>
      </c>
      <c r="E523" s="31">
        <f>F523</f>
        <v>262.864</v>
      </c>
      <c r="F523" s="31">
        <f>ROUND(262.864,3)</f>
        <v>262.864</v>
      </c>
      <c r="G523" s="26"/>
      <c r="H523" s="42"/>
    </row>
    <row r="524" spans="1:8" ht="12.75" customHeight="1">
      <c r="A524" s="27">
        <v>43776</v>
      </c>
      <c r="B524" s="28"/>
      <c r="C524" s="31">
        <f>ROUND(254.950538038402,3)</f>
        <v>254.951</v>
      </c>
      <c r="D524" s="31">
        <f>F524</f>
        <v>268.465</v>
      </c>
      <c r="E524" s="31">
        <f>F524</f>
        <v>268.465</v>
      </c>
      <c r="F524" s="31">
        <f>ROUND(268.465,3)</f>
        <v>268.465</v>
      </c>
      <c r="G524" s="26"/>
      <c r="H524" s="42"/>
    </row>
    <row r="525" spans="1:8" ht="12.75" customHeight="1">
      <c r="A525" s="27">
        <v>43867</v>
      </c>
      <c r="B525" s="28"/>
      <c r="C525" s="31">
        <f>ROUND(254.950538038402,3)</f>
        <v>254.951</v>
      </c>
      <c r="D525" s="31">
        <f>F525</f>
        <v>273.945</v>
      </c>
      <c r="E525" s="31">
        <f>F525</f>
        <v>273.945</v>
      </c>
      <c r="F525" s="31">
        <f>ROUND(273.945,3)</f>
        <v>273.945</v>
      </c>
      <c r="G525" s="26"/>
      <c r="H525" s="42"/>
    </row>
    <row r="526" spans="1:8" ht="12.75" customHeight="1">
      <c r="A526" s="27" t="s">
        <v>90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43542</v>
      </c>
      <c r="B527" s="28"/>
      <c r="C527" s="26">
        <f>ROUND(23989.582679912,2)</f>
        <v>23989.58</v>
      </c>
      <c r="D527" s="26">
        <f>F527</f>
        <v>24174.56</v>
      </c>
      <c r="E527" s="26">
        <f>F527</f>
        <v>24174.56</v>
      </c>
      <c r="F527" s="26">
        <f>ROUND(24174.56,2)</f>
        <v>24174.56</v>
      </c>
      <c r="G527" s="26"/>
      <c r="H527" s="42"/>
    </row>
    <row r="528" spans="1:8" ht="12.75" customHeight="1">
      <c r="A528" s="27">
        <v>43630</v>
      </c>
      <c r="B528" s="28"/>
      <c r="C528" s="26">
        <f>ROUND(23989.582679912,2)</f>
        <v>23989.58</v>
      </c>
      <c r="D528" s="26">
        <f>F528</f>
        <v>24544.28</v>
      </c>
      <c r="E528" s="26">
        <f>F528</f>
        <v>24544.28</v>
      </c>
      <c r="F528" s="26">
        <f>ROUND(24544.28,2)</f>
        <v>24544.28</v>
      </c>
      <c r="G528" s="26"/>
      <c r="H528" s="42"/>
    </row>
    <row r="529" spans="1:8" ht="12.75" customHeight="1">
      <c r="A529" s="27">
        <v>43724</v>
      </c>
      <c r="B529" s="28"/>
      <c r="C529" s="26">
        <f>ROUND(23989.582679912,2)</f>
        <v>23989.58</v>
      </c>
      <c r="D529" s="26">
        <f>F529</f>
        <v>24952.2</v>
      </c>
      <c r="E529" s="26">
        <f>F529</f>
        <v>24952.2</v>
      </c>
      <c r="F529" s="26">
        <f>ROUND(24952.2,2)</f>
        <v>24952.2</v>
      </c>
      <c r="G529" s="26"/>
      <c r="H529" s="42"/>
    </row>
    <row r="530" spans="1:8" ht="12.75" customHeight="1">
      <c r="A530" s="27" t="s">
        <v>91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43544</v>
      </c>
      <c r="B531" s="28"/>
      <c r="C531" s="31">
        <f>ROUND(7.15,3)</f>
        <v>7.15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6"/>
      <c r="H531" s="42"/>
    </row>
    <row r="532" spans="1:8" ht="12.75" customHeight="1">
      <c r="A532" s="27">
        <v>43635</v>
      </c>
      <c r="B532" s="28"/>
      <c r="C532" s="31">
        <f>ROUND(7.15,3)</f>
        <v>7.15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6"/>
      <c r="H532" s="42"/>
    </row>
    <row r="533" spans="1:8" ht="12.75" customHeight="1">
      <c r="A533" s="27">
        <v>43726</v>
      </c>
      <c r="B533" s="28"/>
      <c r="C533" s="31">
        <f>ROUND(7.15,3)</f>
        <v>7.15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6"/>
      <c r="H533" s="42"/>
    </row>
    <row r="534" spans="1:8" ht="12.75" customHeight="1">
      <c r="A534" s="27">
        <v>43817</v>
      </c>
      <c r="B534" s="28"/>
      <c r="C534" s="31">
        <f>ROUND(7.15,3)</f>
        <v>7.15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6"/>
      <c r="H534" s="42"/>
    </row>
    <row r="535" spans="1:8" ht="12.75" customHeight="1">
      <c r="A535" s="27" t="s">
        <v>92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43587</v>
      </c>
      <c r="B536" s="28"/>
      <c r="C536" s="31">
        <f>ROUND(646.134,3)</f>
        <v>646.134</v>
      </c>
      <c r="D536" s="31">
        <f>F536</f>
        <v>653.604</v>
      </c>
      <c r="E536" s="31">
        <f>F536</f>
        <v>653.604</v>
      </c>
      <c r="F536" s="31">
        <f>ROUND(653.604,3)</f>
        <v>653.604</v>
      </c>
      <c r="G536" s="26"/>
      <c r="H536" s="42"/>
    </row>
    <row r="537" spans="1:8" ht="12.75" customHeight="1">
      <c r="A537" s="27">
        <v>43678</v>
      </c>
      <c r="B537" s="28"/>
      <c r="C537" s="31">
        <f>ROUND(646.134,3)</f>
        <v>646.134</v>
      </c>
      <c r="D537" s="31">
        <f>F537</f>
        <v>665.926</v>
      </c>
      <c r="E537" s="31">
        <f>F537</f>
        <v>665.926</v>
      </c>
      <c r="F537" s="31">
        <f>ROUND(665.926,3)</f>
        <v>665.926</v>
      </c>
      <c r="G537" s="26"/>
      <c r="H537" s="42"/>
    </row>
    <row r="538" spans="1:8" ht="12.75" customHeight="1">
      <c r="A538" s="27">
        <v>43776</v>
      </c>
      <c r="B538" s="28"/>
      <c r="C538" s="31">
        <f>ROUND(646.134,3)</f>
        <v>646.134</v>
      </c>
      <c r="D538" s="31">
        <f>F538</f>
        <v>679.946</v>
      </c>
      <c r="E538" s="31">
        <f>F538</f>
        <v>679.946</v>
      </c>
      <c r="F538" s="31">
        <f>ROUND(679.946,3)</f>
        <v>679.946</v>
      </c>
      <c r="G538" s="26"/>
      <c r="H538" s="42"/>
    </row>
    <row r="539" spans="1:8" ht="12.75" customHeight="1">
      <c r="A539" s="27">
        <v>43867</v>
      </c>
      <c r="B539" s="28"/>
      <c r="C539" s="31">
        <f>ROUND(646.134,3)</f>
        <v>646.134</v>
      </c>
      <c r="D539" s="31">
        <f>F539</f>
        <v>693.674</v>
      </c>
      <c r="E539" s="31">
        <f>F539</f>
        <v>693.674</v>
      </c>
      <c r="F539" s="31">
        <f>ROUND(693.674,3)</f>
        <v>693.674</v>
      </c>
      <c r="G539" s="26"/>
      <c r="H539" s="42"/>
    </row>
    <row r="540" spans="1:8" ht="12.75" customHeight="1">
      <c r="A540" s="27" t="s">
        <v>13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43546</v>
      </c>
      <c r="B541" s="28"/>
      <c r="C541" s="26">
        <f>ROUND(99.8649296806643,2)</f>
        <v>99.86</v>
      </c>
      <c r="D541" s="26">
        <f>F541</f>
        <v>99.58</v>
      </c>
      <c r="E541" s="26">
        <f>F541</f>
        <v>99.58</v>
      </c>
      <c r="F541" s="26">
        <f>ROUND(99.5762835434816,2)</f>
        <v>99.58</v>
      </c>
      <c r="G541" s="26"/>
      <c r="H541" s="42"/>
    </row>
    <row r="542" spans="1:8" ht="12.75" customHeight="1">
      <c r="A542" s="27" t="s">
        <v>14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43913</v>
      </c>
      <c r="B543" s="28"/>
      <c r="C543" s="26">
        <f>ROUND(99.2633663835768,2)</f>
        <v>99.26</v>
      </c>
      <c r="D543" s="26">
        <f>F543</f>
        <v>98.77</v>
      </c>
      <c r="E543" s="26">
        <f>F543</f>
        <v>98.77</v>
      </c>
      <c r="F543" s="26">
        <f>ROUND(98.7687918190917,2)</f>
        <v>98.77</v>
      </c>
      <c r="G543" s="26"/>
      <c r="H543" s="42"/>
    </row>
    <row r="544" spans="1:8" ht="12.75" customHeight="1">
      <c r="A544" s="27" t="s">
        <v>15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45007</v>
      </c>
      <c r="B545" s="28"/>
      <c r="C545" s="26">
        <f>ROUND(97.3288412966072,2)</f>
        <v>97.33</v>
      </c>
      <c r="D545" s="26">
        <f>F545</f>
        <v>95.9</v>
      </c>
      <c r="E545" s="26">
        <f>F545</f>
        <v>95.9</v>
      </c>
      <c r="F545" s="26">
        <f>ROUND(95.8964296494409,2)</f>
        <v>95.9</v>
      </c>
      <c r="G545" s="26"/>
      <c r="H545" s="42"/>
    </row>
    <row r="546" spans="1:8" ht="12.75" customHeight="1">
      <c r="A546" s="27" t="s">
        <v>16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46834</v>
      </c>
      <c r="B547" s="28"/>
      <c r="C547" s="26">
        <f>ROUND(95.9137507136801,2)</f>
        <v>95.91</v>
      </c>
      <c r="D547" s="26">
        <f>F547</f>
        <v>95.17</v>
      </c>
      <c r="E547" s="26">
        <f>F547</f>
        <v>95.17</v>
      </c>
      <c r="F547" s="26">
        <f>ROUND(95.1749026687652,2)</f>
        <v>95.17</v>
      </c>
      <c r="G547" s="26"/>
      <c r="H547" s="42"/>
    </row>
    <row r="548" spans="1:8" ht="12.75" customHeight="1">
      <c r="A548" s="27" t="s">
        <v>93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43636</v>
      </c>
      <c r="B549" s="28"/>
      <c r="C549" s="26">
        <f>ROUND(99.8649296806643,2)</f>
        <v>99.86</v>
      </c>
      <c r="D549" s="26">
        <f>F549</f>
        <v>102.02</v>
      </c>
      <c r="E549" s="26">
        <f>F549</f>
        <v>102.02</v>
      </c>
      <c r="F549" s="26">
        <f>ROUND(102.015091846484,2)</f>
        <v>102.02</v>
      </c>
      <c r="G549" s="26"/>
      <c r="H549" s="42"/>
    </row>
    <row r="550" spans="1:8" ht="12.75" customHeight="1">
      <c r="A550" s="27" t="s">
        <v>94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43727</v>
      </c>
      <c r="B551" s="28"/>
      <c r="C551" s="26">
        <f>ROUND(99.8649296806643,2)</f>
        <v>99.86</v>
      </c>
      <c r="D551" s="26">
        <f>F551</f>
        <v>99.86</v>
      </c>
      <c r="E551" s="26">
        <f>F551</f>
        <v>99.86</v>
      </c>
      <c r="F551" s="26">
        <f>ROUND(99.8649296806643,2)</f>
        <v>99.86</v>
      </c>
      <c r="G551" s="26"/>
      <c r="H551" s="42"/>
    </row>
    <row r="552" spans="1:8" ht="12.75" customHeight="1">
      <c r="A552" s="27" t="s">
        <v>95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43539</v>
      </c>
      <c r="B553" s="28"/>
      <c r="C553" s="30">
        <f>ROUND(99.2633663835768,5)</f>
        <v>99.26337</v>
      </c>
      <c r="D553" s="30">
        <f>F553</f>
        <v>99.32926</v>
      </c>
      <c r="E553" s="30">
        <f>F553</f>
        <v>99.32926</v>
      </c>
      <c r="F553" s="30">
        <f>ROUND(99.3292611668476,5)</f>
        <v>99.32926</v>
      </c>
      <c r="G553" s="26"/>
      <c r="H553" s="42"/>
    </row>
    <row r="554" spans="1:8" ht="12.75" customHeight="1">
      <c r="A554" s="27" t="s">
        <v>96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43637</v>
      </c>
      <c r="B555" s="28"/>
      <c r="C555" s="30">
        <f>ROUND(99.2633663835768,5)</f>
        <v>99.26337</v>
      </c>
      <c r="D555" s="30">
        <f>F555</f>
        <v>99.73985</v>
      </c>
      <c r="E555" s="30">
        <f>F555</f>
        <v>99.73985</v>
      </c>
      <c r="F555" s="30">
        <f>ROUND(99.7398462374563,5)</f>
        <v>99.73985</v>
      </c>
      <c r="G555" s="26"/>
      <c r="H555" s="42"/>
    </row>
    <row r="556" spans="1:8" ht="12.75" customHeight="1">
      <c r="A556" s="27" t="s">
        <v>97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43728</v>
      </c>
      <c r="B557" s="28"/>
      <c r="C557" s="30">
        <f>ROUND(99.2633663835768,5)</f>
        <v>99.26337</v>
      </c>
      <c r="D557" s="30">
        <f>F557</f>
        <v>101.86301</v>
      </c>
      <c r="E557" s="30">
        <f>F557</f>
        <v>101.86301</v>
      </c>
      <c r="F557" s="30">
        <f>ROUND(101.863005005024,5)</f>
        <v>101.86301</v>
      </c>
      <c r="G557" s="26"/>
      <c r="H557" s="42"/>
    </row>
    <row r="558" spans="1:8" ht="12.75" customHeight="1">
      <c r="A558" s="27" t="s">
        <v>98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44004</v>
      </c>
      <c r="B559" s="28"/>
      <c r="C559" s="26">
        <f>ROUND(99.2633663835768,2)</f>
        <v>99.26</v>
      </c>
      <c r="D559" s="26">
        <f>F559</f>
        <v>102.31</v>
      </c>
      <c r="E559" s="26">
        <f>F559</f>
        <v>102.31</v>
      </c>
      <c r="F559" s="26">
        <f>ROUND(102.310879524252,2)</f>
        <v>102.31</v>
      </c>
      <c r="G559" s="26"/>
      <c r="H559" s="42"/>
    </row>
    <row r="560" spans="1:8" ht="12.75" customHeight="1">
      <c r="A560" s="27" t="s">
        <v>99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44095</v>
      </c>
      <c r="B561" s="28"/>
      <c r="C561" s="26">
        <f>ROUND(99.2633663835768,2)</f>
        <v>99.26</v>
      </c>
      <c r="D561" s="26">
        <f>F561</f>
        <v>99.26</v>
      </c>
      <c r="E561" s="26">
        <f>F561</f>
        <v>99.26</v>
      </c>
      <c r="F561" s="26">
        <f>ROUND(99.2633663835768,2)</f>
        <v>99.26</v>
      </c>
      <c r="G561" s="26"/>
      <c r="H561" s="42"/>
    </row>
    <row r="562" spans="1:8" ht="12.75" customHeight="1">
      <c r="A562" s="27" t="s">
        <v>100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44182</v>
      </c>
      <c r="B563" s="28"/>
      <c r="C563" s="30">
        <f>ROUND(97.3288412966072,5)</f>
        <v>97.32884</v>
      </c>
      <c r="D563" s="30">
        <f>F563</f>
        <v>96.01283</v>
      </c>
      <c r="E563" s="30">
        <f>F563</f>
        <v>96.01283</v>
      </c>
      <c r="F563" s="30">
        <f>ROUND(96.0128291924021,5)</f>
        <v>96.01283</v>
      </c>
      <c r="G563" s="26"/>
      <c r="H563" s="42"/>
    </row>
    <row r="564" spans="1:8" ht="12.75" customHeight="1">
      <c r="A564" s="27" t="s">
        <v>101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44271</v>
      </c>
      <c r="B565" s="28"/>
      <c r="C565" s="30">
        <f>ROUND(97.3288412966072,5)</f>
        <v>97.32884</v>
      </c>
      <c r="D565" s="30">
        <f>F565</f>
        <v>95.12861</v>
      </c>
      <c r="E565" s="30">
        <f>F565</f>
        <v>95.12861</v>
      </c>
      <c r="F565" s="30">
        <f>ROUND(95.1286095163494,5)</f>
        <v>95.12861</v>
      </c>
      <c r="G565" s="26"/>
      <c r="H565" s="42"/>
    </row>
    <row r="566" spans="1:8" ht="12.75" customHeight="1">
      <c r="A566" s="27" t="s">
        <v>102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44362</v>
      </c>
      <c r="B567" s="28"/>
      <c r="C567" s="30">
        <f>ROUND(97.3288412966072,5)</f>
        <v>97.32884</v>
      </c>
      <c r="D567" s="30">
        <f>F567</f>
        <v>94.21191</v>
      </c>
      <c r="E567" s="30">
        <f>F567</f>
        <v>94.21191</v>
      </c>
      <c r="F567" s="30">
        <f>ROUND(94.2119115218578,5)</f>
        <v>94.21191</v>
      </c>
      <c r="G567" s="26"/>
      <c r="H567" s="42"/>
    </row>
    <row r="568" spans="1:8" ht="12.75" customHeight="1">
      <c r="A568" s="27" t="s">
        <v>103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44460</v>
      </c>
      <c r="B569" s="28"/>
      <c r="C569" s="30">
        <f>ROUND(97.3288412966072,5)</f>
        <v>97.32884</v>
      </c>
      <c r="D569" s="30">
        <f>F569</f>
        <v>94.27678</v>
      </c>
      <c r="E569" s="30">
        <f>F569</f>
        <v>94.27678</v>
      </c>
      <c r="F569" s="30">
        <f>ROUND(94.2767844517237,5)</f>
        <v>94.27678</v>
      </c>
      <c r="G569" s="26"/>
      <c r="H569" s="42"/>
    </row>
    <row r="570" spans="1:8" ht="12.75" customHeight="1">
      <c r="A570" s="27" t="s">
        <v>104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44551</v>
      </c>
      <c r="B571" s="28"/>
      <c r="C571" s="30">
        <f>ROUND(97.3288412966072,5)</f>
        <v>97.32884</v>
      </c>
      <c r="D571" s="30">
        <f>F571</f>
        <v>96.38783</v>
      </c>
      <c r="E571" s="30">
        <f>F571</f>
        <v>96.38783</v>
      </c>
      <c r="F571" s="30">
        <f>ROUND(96.3878312250146,5)</f>
        <v>96.38783</v>
      </c>
      <c r="G571" s="26"/>
      <c r="H571" s="42"/>
    </row>
    <row r="572" spans="1:8" ht="12.75" customHeight="1">
      <c r="A572" s="27" t="s">
        <v>105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44635</v>
      </c>
      <c r="B573" s="28"/>
      <c r="C573" s="30">
        <f>ROUND(97.3288412966072,5)</f>
        <v>97.32884</v>
      </c>
      <c r="D573" s="30">
        <f>F573</f>
        <v>96.44718</v>
      </c>
      <c r="E573" s="30">
        <f>F573</f>
        <v>96.44718</v>
      </c>
      <c r="F573" s="30">
        <f>ROUND(96.4471766651731,5)</f>
        <v>96.44718</v>
      </c>
      <c r="G573" s="26"/>
      <c r="H573" s="42"/>
    </row>
    <row r="574" spans="1:8" ht="12.75" customHeight="1">
      <c r="A574" s="27" t="s">
        <v>106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44733</v>
      </c>
      <c r="B575" s="28"/>
      <c r="C575" s="30">
        <f>ROUND(97.3288412966072,5)</f>
        <v>97.32884</v>
      </c>
      <c r="D575" s="30">
        <f>F575</f>
        <v>97.55812</v>
      </c>
      <c r="E575" s="30">
        <f>F575</f>
        <v>97.55812</v>
      </c>
      <c r="F575" s="30">
        <f>ROUND(97.5581187719165,5)</f>
        <v>97.55812</v>
      </c>
      <c r="G575" s="26"/>
      <c r="H575" s="42"/>
    </row>
    <row r="576" spans="1:8" ht="12.75" customHeight="1">
      <c r="A576" s="27" t="s">
        <v>107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44824</v>
      </c>
      <c r="B577" s="28"/>
      <c r="C577" s="30">
        <f>ROUND(97.3288412966072,5)</f>
        <v>97.32884</v>
      </c>
      <c r="D577" s="30">
        <f>F577</f>
        <v>101.42475</v>
      </c>
      <c r="E577" s="30">
        <f>F577</f>
        <v>101.42475</v>
      </c>
      <c r="F577" s="30">
        <f>ROUND(101.424745583988,5)</f>
        <v>101.42475</v>
      </c>
      <c r="G577" s="26"/>
      <c r="H577" s="42"/>
    </row>
    <row r="578" spans="1:8" ht="12.75" customHeight="1">
      <c r="A578" s="27" t="s">
        <v>108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45097</v>
      </c>
      <c r="B579" s="28"/>
      <c r="C579" s="26">
        <f>ROUND(97.3288412966072,2)</f>
        <v>97.33</v>
      </c>
      <c r="D579" s="26">
        <f>F579</f>
        <v>101.91</v>
      </c>
      <c r="E579" s="26">
        <f>F579</f>
        <v>101.91</v>
      </c>
      <c r="F579" s="26">
        <f>ROUND(101.906037029303,2)</f>
        <v>101.91</v>
      </c>
      <c r="G579" s="26"/>
      <c r="H579" s="42"/>
    </row>
    <row r="580" spans="1:8" ht="12.75" customHeight="1">
      <c r="A580" s="27" t="s">
        <v>109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45188</v>
      </c>
      <c r="B581" s="28"/>
      <c r="C581" s="26">
        <f>ROUND(97.3288412966072,2)</f>
        <v>97.33</v>
      </c>
      <c r="D581" s="26">
        <f>F581</f>
        <v>97.33</v>
      </c>
      <c r="E581" s="26">
        <f>F581</f>
        <v>97.33</v>
      </c>
      <c r="F581" s="26">
        <f>ROUND(97.3288412966072,2)</f>
        <v>97.33</v>
      </c>
      <c r="G581" s="26"/>
      <c r="H581" s="42"/>
    </row>
    <row r="582" spans="1:8" ht="12.75" customHeight="1">
      <c r="A582" s="27" t="s">
        <v>110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46008</v>
      </c>
      <c r="B583" s="28"/>
      <c r="C583" s="30">
        <f>ROUND(95.9137507136801,5)</f>
        <v>95.91375</v>
      </c>
      <c r="D583" s="30">
        <f>F583</f>
        <v>93.60116</v>
      </c>
      <c r="E583" s="30">
        <f>F583</f>
        <v>93.60116</v>
      </c>
      <c r="F583" s="30">
        <f>ROUND(93.6011551387717,5)</f>
        <v>93.60116</v>
      </c>
      <c r="G583" s="26"/>
      <c r="H583" s="42"/>
    </row>
    <row r="584" spans="1:8" ht="12.75" customHeight="1">
      <c r="A584" s="27" t="s">
        <v>111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46097</v>
      </c>
      <c r="B585" s="28"/>
      <c r="C585" s="30">
        <f>ROUND(95.9137507136801,5)</f>
        <v>95.91375</v>
      </c>
      <c r="D585" s="30">
        <f>F585</f>
        <v>90.55227</v>
      </c>
      <c r="E585" s="30">
        <f>F585</f>
        <v>90.55227</v>
      </c>
      <c r="F585" s="30">
        <f>ROUND(90.5522718781997,5)</f>
        <v>90.55227</v>
      </c>
      <c r="G585" s="26"/>
      <c r="H585" s="42"/>
    </row>
    <row r="586" spans="1:8" ht="12.75" customHeight="1">
      <c r="A586" s="27" t="s">
        <v>112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46188</v>
      </c>
      <c r="B587" s="28"/>
      <c r="C587" s="30">
        <f>ROUND(95.9137507136801,5)</f>
        <v>95.91375</v>
      </c>
      <c r="D587" s="30">
        <f>F587</f>
        <v>89.26212</v>
      </c>
      <c r="E587" s="30">
        <f>F587</f>
        <v>89.26212</v>
      </c>
      <c r="F587" s="30">
        <f>ROUND(89.2621230166444,5)</f>
        <v>89.26212</v>
      </c>
      <c r="G587" s="26"/>
      <c r="H587" s="42"/>
    </row>
    <row r="588" spans="1:8" ht="12.75" customHeight="1">
      <c r="A588" s="27" t="s">
        <v>113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46286</v>
      </c>
      <c r="B589" s="28"/>
      <c r="C589" s="30">
        <f>ROUND(95.9137507136801,5)</f>
        <v>95.91375</v>
      </c>
      <c r="D589" s="30">
        <f>F589</f>
        <v>91.42805</v>
      </c>
      <c r="E589" s="30">
        <f>F589</f>
        <v>91.42805</v>
      </c>
      <c r="F589" s="30">
        <f>ROUND(91.428047892889,5)</f>
        <v>91.42805</v>
      </c>
      <c r="G589" s="26"/>
      <c r="H589" s="42"/>
    </row>
    <row r="590" spans="1:8" ht="12.75" customHeight="1">
      <c r="A590" s="27" t="s">
        <v>114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46377</v>
      </c>
      <c r="B591" s="28"/>
      <c r="C591" s="30">
        <f>ROUND(95.9137507136801,5)</f>
        <v>95.91375</v>
      </c>
      <c r="D591" s="30">
        <f>F591</f>
        <v>95.24578</v>
      </c>
      <c r="E591" s="30">
        <f>F591</f>
        <v>95.24578</v>
      </c>
      <c r="F591" s="30">
        <f>ROUND(95.2457776653154,5)</f>
        <v>95.24578</v>
      </c>
      <c r="G591" s="26"/>
      <c r="H591" s="42"/>
    </row>
    <row r="592" spans="1:8" ht="12.75" customHeight="1">
      <c r="A592" s="27" t="s">
        <v>115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46461</v>
      </c>
      <c r="B593" s="28"/>
      <c r="C593" s="30">
        <f>ROUND(95.9137507136801,5)</f>
        <v>95.91375</v>
      </c>
      <c r="D593" s="30">
        <f>F593</f>
        <v>93.79606</v>
      </c>
      <c r="E593" s="30">
        <f>F593</f>
        <v>93.79606</v>
      </c>
      <c r="F593" s="30">
        <f>ROUND(93.7960641275511,5)</f>
        <v>93.79606</v>
      </c>
      <c r="G593" s="26"/>
      <c r="H593" s="42"/>
    </row>
    <row r="594" spans="1:8" ht="12.75" customHeight="1">
      <c r="A594" s="27" t="s">
        <v>116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46559</v>
      </c>
      <c r="B595" s="28"/>
      <c r="C595" s="30">
        <f>ROUND(95.9137507136801,5)</f>
        <v>95.91375</v>
      </c>
      <c r="D595" s="30">
        <f>F595</f>
        <v>95.87976</v>
      </c>
      <c r="E595" s="30">
        <f>F595</f>
        <v>95.87976</v>
      </c>
      <c r="F595" s="30">
        <f>ROUND(95.8797580965171,5)</f>
        <v>95.87976</v>
      </c>
      <c r="G595" s="26"/>
      <c r="H595" s="42"/>
    </row>
    <row r="596" spans="1:8" ht="12.75" customHeight="1">
      <c r="A596" s="27" t="s">
        <v>117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46650</v>
      </c>
      <c r="B597" s="28"/>
      <c r="C597" s="30">
        <f>ROUND(95.9137507136801,5)</f>
        <v>95.91375</v>
      </c>
      <c r="D597" s="30">
        <f>F597</f>
        <v>101.3684</v>
      </c>
      <c r="E597" s="30">
        <f>F597</f>
        <v>101.3684</v>
      </c>
      <c r="F597" s="30">
        <f>ROUND(101.368401160295,5)</f>
        <v>101.3684</v>
      </c>
      <c r="G597" s="26"/>
      <c r="H597" s="42"/>
    </row>
    <row r="598" spans="1:8" ht="12.75" customHeight="1">
      <c r="A598" s="27" t="s">
        <v>118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46924</v>
      </c>
      <c r="B599" s="28"/>
      <c r="C599" s="26">
        <f>ROUND(95.9137507136801,2)</f>
        <v>95.91</v>
      </c>
      <c r="D599" s="26">
        <f>F599</f>
        <v>102.41</v>
      </c>
      <c r="E599" s="26">
        <f>F599</f>
        <v>102.41</v>
      </c>
      <c r="F599" s="26">
        <f>ROUND(102.412706164448,2)</f>
        <v>102.41</v>
      </c>
      <c r="G599" s="26"/>
      <c r="H599" s="42"/>
    </row>
    <row r="600" spans="1:8" ht="12.75" customHeight="1">
      <c r="A600" s="27" t="s">
        <v>119</v>
      </c>
      <c r="B600" s="28"/>
      <c r="C600" s="29"/>
      <c r="D600" s="29"/>
      <c r="E600" s="29"/>
      <c r="F600" s="29"/>
      <c r="G600" s="26"/>
      <c r="H600" s="42"/>
    </row>
    <row r="601" spans="1:8" ht="12.75" customHeight="1" thickBot="1">
      <c r="A601" s="38">
        <v>47015</v>
      </c>
      <c r="B601" s="39"/>
      <c r="C601" s="40">
        <f>ROUND(95.9137507136801,2)</f>
        <v>95.91</v>
      </c>
      <c r="D601" s="40">
        <f>F601</f>
        <v>95.91</v>
      </c>
      <c r="E601" s="40">
        <f>F601</f>
        <v>95.91</v>
      </c>
      <c r="F601" s="40">
        <f>ROUND(95.9137507136801,2)</f>
        <v>95.91</v>
      </c>
      <c r="G601" s="40"/>
      <c r="H601" s="43"/>
    </row>
  </sheetData>
  <sheetProtection/>
  <mergeCells count="600"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1:B501"/>
    <mergeCell ref="A502:B502"/>
    <mergeCell ref="A503:B503"/>
    <mergeCell ref="A504:B504"/>
    <mergeCell ref="A505:B505"/>
    <mergeCell ref="A500:B500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2019-03-05T16:12:57Z</dcterms:modified>
  <cp:category/>
  <cp:version/>
  <cp:contentType/>
  <cp:contentStatus/>
</cp:coreProperties>
</file>